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D:\زمین سنگده-آقای قبدی\"/>
    </mc:Choice>
  </mc:AlternateContent>
  <xr:revisionPtr revIDLastSave="0" documentId="13_ncr:1_{A1856865-DD63-4431-B8E5-837C3C6A6695}" xr6:coauthVersionLast="47" xr6:coauthVersionMax="47" xr10:uidLastSave="{00000000-0000-0000-0000-000000000000}"/>
  <bookViews>
    <workbookView xWindow="-110" yWindow="-110" windowWidth="22780" windowHeight="14660" tabRatio="741" activeTab="1" xr2:uid="{00000000-000D-0000-FFFF-FFFF00000000}"/>
  </bookViews>
  <sheets>
    <sheet name="Base Data" sheetId="33" r:id="rId1"/>
    <sheet name="NPV-Owner" sheetId="39" r:id="rId2"/>
    <sheet name="Single Property P&amp;L-Flourd" sheetId="7" r:id="rId3"/>
    <sheet name="Sales" sheetId="32" r:id="rId4"/>
    <sheet name="Operating Costs" sheetId="34" r:id="rId5"/>
    <sheet name="Operation Staff cost" sheetId="35" r:id="rId6"/>
    <sheet name="Pre Opening" sheetId="37" r:id="rId7"/>
    <sheet name="Capex " sheetId="25" r:id="rId8"/>
    <sheet name="Constuction CashFlow" sheetId="41" r:id="rId9"/>
  </sheets>
  <definedNames>
    <definedName name="CentralShare">'Single Property P&amp;L-Flourd'!#REF!</definedName>
    <definedName name="DepartmentalExpenses">'Single Property P&amp;L-Flourd'!$A$45</definedName>
    <definedName name="DepartmentalExpensesRange">'Single Property P&amp;L-Flourd'!$A$46:$A$54</definedName>
    <definedName name="NonOperating">'Single Property P&amp;L-Flourd'!#REF!</definedName>
    <definedName name="NonOperatingRange">'Single Property P&amp;L-Flourd'!#REF!</definedName>
    <definedName name="NoOperating">'Single Property P&amp;L-Flourd'!#REF!</definedName>
    <definedName name="OperatingRevenue">'Single Property P&amp;L-Flourd'!$A$27</definedName>
    <definedName name="OperatingRevenueRange">'Single Property P&amp;L-Flourd'!$A$30:$A$41</definedName>
    <definedName name="PL">'Single Property P&amp;L-Flourd'!$A$1</definedName>
    <definedName name="test">'Single Property P&amp;L-Flourd'!$A$30:$A$41</definedName>
    <definedName name="UndistributedExpensesRange">'Single Property P&amp;L-Flourd'!$A$58:$A$66</definedName>
    <definedName name="UndistributedOperatingExpenses">'Single Property P&amp;L-Flourd'!$A$57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32" l="1"/>
  <c r="Q3" i="39"/>
  <c r="Q2" i="39"/>
  <c r="O10" i="39" l="1"/>
  <c r="O9" i="39"/>
  <c r="O8" i="39"/>
  <c r="O7" i="39"/>
  <c r="O6" i="39"/>
  <c r="O5" i="39"/>
  <c r="O4" i="39"/>
  <c r="O3" i="39"/>
  <c r="O2" i="39"/>
  <c r="N10" i="39"/>
  <c r="N9" i="39"/>
  <c r="N8" i="39"/>
  <c r="N7" i="39"/>
  <c r="N6" i="39"/>
  <c r="N5" i="39"/>
  <c r="N4" i="39"/>
  <c r="N3" i="39"/>
  <c r="N2" i="39"/>
  <c r="G7" i="39" l="1"/>
  <c r="H7" i="39" s="1"/>
  <c r="I7" i="39" s="1"/>
  <c r="J7" i="39" s="1"/>
  <c r="D17" i="39" l="1"/>
  <c r="D18" i="39"/>
  <c r="K18" i="39" s="1"/>
  <c r="F5" i="35"/>
  <c r="C16" i="39" l="1"/>
  <c r="P3" i="39" s="1"/>
  <c r="R3" i="39" s="1"/>
  <c r="B16" i="39"/>
  <c r="P2" i="39" s="1"/>
  <c r="R2" i="39" s="1"/>
  <c r="G3" i="41"/>
  <c r="D16" i="39"/>
  <c r="P4" i="39" s="1"/>
  <c r="B20" i="41"/>
  <c r="E16" i="39"/>
  <c r="P5" i="39" s="1"/>
  <c r="B19" i="41"/>
  <c r="C9" i="41" s="1"/>
  <c r="B14" i="41"/>
  <c r="K6" i="39"/>
  <c r="K7" i="39"/>
  <c r="E4" i="39"/>
  <c r="F2" i="39"/>
  <c r="E2" i="39"/>
  <c r="F2" i="35"/>
  <c r="P33" i="34"/>
  <c r="O33" i="34"/>
  <c r="N33" i="34"/>
  <c r="M33" i="34"/>
  <c r="L33" i="34"/>
  <c r="K33" i="34"/>
  <c r="J33" i="34"/>
  <c r="I33" i="34"/>
  <c r="G33" i="34"/>
  <c r="F33" i="34"/>
  <c r="E33" i="34"/>
  <c r="E32" i="34"/>
  <c r="C14" i="32"/>
  <c r="D14" i="32"/>
  <c r="E14" i="32"/>
  <c r="F14" i="32"/>
  <c r="F16" i="32" s="1"/>
  <c r="G14" i="32"/>
  <c r="H14" i="32"/>
  <c r="H16" i="32" s="1"/>
  <c r="I14" i="32"/>
  <c r="I16" i="32" s="1"/>
  <c r="J14" i="32"/>
  <c r="J16" i="32" s="1"/>
  <c r="K14" i="32"/>
  <c r="L14" i="32"/>
  <c r="M14" i="32"/>
  <c r="N14" i="32"/>
  <c r="B14" i="32"/>
  <c r="B16" i="32" s="1"/>
  <c r="C16" i="32"/>
  <c r="D16" i="32"/>
  <c r="G16" i="32"/>
  <c r="K16" i="32"/>
  <c r="L16" i="32"/>
  <c r="M16" i="32"/>
  <c r="E2" i="34"/>
  <c r="F2" i="34" s="1"/>
  <c r="G2" i="34" s="1"/>
  <c r="H2" i="34" s="1"/>
  <c r="I2" i="34" s="1"/>
  <c r="J2" i="34" s="1"/>
  <c r="K2" i="34" s="1"/>
  <c r="L2" i="34" s="1"/>
  <c r="M2" i="34" s="1"/>
  <c r="N2" i="34" s="1"/>
  <c r="O2" i="34" s="1"/>
  <c r="P2" i="34" s="1"/>
  <c r="D18" i="37"/>
  <c r="D19" i="37"/>
  <c r="D20" i="37"/>
  <c r="D21" i="37"/>
  <c r="D22" i="37"/>
  <c r="D23" i="37"/>
  <c r="D24" i="37"/>
  <c r="D25" i="37"/>
  <c r="D26" i="37"/>
  <c r="D27" i="37"/>
  <c r="D17" i="37"/>
  <c r="S2" i="39" l="1"/>
  <c r="S3" i="39"/>
  <c r="C13" i="41"/>
  <c r="C8" i="41"/>
  <c r="D8" i="41" s="1"/>
  <c r="C7" i="41"/>
  <c r="C3" i="41"/>
  <c r="D3" i="41" s="1"/>
  <c r="E3" i="41" s="1"/>
  <c r="F3" i="41" s="1"/>
  <c r="C6" i="41"/>
  <c r="C11" i="41"/>
  <c r="D11" i="41" s="1"/>
  <c r="Q11" i="41" s="1"/>
  <c r="C5" i="41"/>
  <c r="C12" i="41"/>
  <c r="C4" i="41"/>
  <c r="D4" i="41" s="1"/>
  <c r="G4" i="41" s="1"/>
  <c r="H4" i="41" s="1"/>
  <c r="I4" i="41" s="1"/>
  <c r="C10" i="41"/>
  <c r="E15" i="35" l="1"/>
  <c r="B15" i="32"/>
  <c r="C15" i="32" s="1"/>
  <c r="B13" i="32"/>
  <c r="D15" i="32" l="1"/>
  <c r="E15" i="32" s="1"/>
  <c r="F15" i="32" s="1"/>
  <c r="G15" i="32" s="1"/>
  <c r="H15" i="32" s="1"/>
  <c r="I15" i="32" s="1"/>
  <c r="J15" i="32" s="1"/>
  <c r="K15" i="32" s="1"/>
  <c r="L15" i="32" s="1"/>
  <c r="M15" i="32" s="1"/>
  <c r="N15" i="32" l="1"/>
  <c r="M3" i="32" l="1"/>
  <c r="M4" i="32" s="1"/>
  <c r="I3" i="32"/>
  <c r="I4" i="32" s="1"/>
  <c r="J3" i="32"/>
  <c r="J4" i="32" s="1"/>
  <c r="K3" i="32"/>
  <c r="K4" i="32" s="1"/>
  <c r="L3" i="32"/>
  <c r="L4" i="32" s="1"/>
  <c r="H3" i="32"/>
  <c r="H4" i="32" s="1"/>
  <c r="C3" i="32"/>
  <c r="C4" i="32" s="1"/>
  <c r="D3" i="32"/>
  <c r="D4" i="32" s="1"/>
  <c r="E3" i="32"/>
  <c r="E4" i="32" s="1"/>
  <c r="F3" i="32"/>
  <c r="F4" i="32" s="1"/>
  <c r="G3" i="32"/>
  <c r="G4" i="32" s="1"/>
  <c r="B3" i="32"/>
  <c r="B4" i="32" s="1"/>
  <c r="B6" i="32" s="1"/>
  <c r="C28" i="32" l="1"/>
  <c r="H8" i="32" s="1"/>
  <c r="H9" i="32" s="1"/>
  <c r="N7" i="32"/>
  <c r="B8" i="32" l="1"/>
  <c r="B9" i="32" s="1"/>
  <c r="F8" i="32"/>
  <c r="F9" i="32" s="1"/>
  <c r="G8" i="32"/>
  <c r="G9" i="32" s="1"/>
  <c r="M8" i="32"/>
  <c r="M9" i="32" s="1"/>
  <c r="E8" i="32"/>
  <c r="E9" i="32" s="1"/>
  <c r="L8" i="32"/>
  <c r="L9" i="32" s="1"/>
  <c r="D8" i="32"/>
  <c r="D9" i="32" s="1"/>
  <c r="K8" i="32"/>
  <c r="K9" i="32" s="1"/>
  <c r="C8" i="32"/>
  <c r="C9" i="32" s="1"/>
  <c r="J8" i="32"/>
  <c r="J9" i="32" s="1"/>
  <c r="I8" i="32"/>
  <c r="I9" i="32" s="1"/>
  <c r="N8" i="32" l="1"/>
  <c r="N9" i="32" s="1"/>
  <c r="D28" i="37" l="1"/>
  <c r="D29" i="37" s="1"/>
  <c r="D30" i="37" s="1"/>
  <c r="D2" i="37" s="1"/>
  <c r="C26" i="39"/>
  <c r="F4" i="39" l="1"/>
  <c r="F14" i="41"/>
  <c r="G14" i="41"/>
  <c r="C14" i="41"/>
  <c r="R11" i="41"/>
  <c r="S11" i="41" s="1"/>
  <c r="T11" i="41" s="1"/>
  <c r="D10" i="41"/>
  <c r="D9" i="41"/>
  <c r="M9" i="41" s="1"/>
  <c r="C13" i="32"/>
  <c r="AB14" i="41"/>
  <c r="AA14" i="41"/>
  <c r="E14" i="41"/>
  <c r="D13" i="41"/>
  <c r="Z13" i="41" s="1"/>
  <c r="D12" i="41"/>
  <c r="Y12" i="41" s="1"/>
  <c r="Z12" i="41" s="1"/>
  <c r="Z14" i="41" s="1"/>
  <c r="J8" i="41"/>
  <c r="D7" i="41"/>
  <c r="I7" i="41" s="1"/>
  <c r="D6" i="41"/>
  <c r="I6" i="41" s="1"/>
  <c r="J6" i="41" s="1"/>
  <c r="K6" i="41" s="1"/>
  <c r="L6" i="41" s="1"/>
  <c r="D5" i="41"/>
  <c r="H5" i="41" s="1"/>
  <c r="I5" i="41" s="1"/>
  <c r="G4" i="39" l="1"/>
  <c r="H4" i="39" s="1"/>
  <c r="I4" i="39" s="1"/>
  <c r="J4" i="39" s="1"/>
  <c r="O10" i="41"/>
  <c r="P10" i="41" s="1"/>
  <c r="Q10" i="41" s="1"/>
  <c r="R10" i="41" s="1"/>
  <c r="H14" i="41"/>
  <c r="I14" i="41"/>
  <c r="J14" i="41"/>
  <c r="K8" i="41"/>
  <c r="D13" i="32"/>
  <c r="E13" i="32" s="1"/>
  <c r="F13" i="32" s="1"/>
  <c r="G13" i="32" s="1"/>
  <c r="H13" i="32" s="1"/>
  <c r="I13" i="32" s="1"/>
  <c r="J13" i="32" s="1"/>
  <c r="K13" i="32" s="1"/>
  <c r="L13" i="32" s="1"/>
  <c r="M13" i="32" s="1"/>
  <c r="B19" i="39"/>
  <c r="C19" i="39" s="1"/>
  <c r="U11" i="41"/>
  <c r="E9" i="37"/>
  <c r="F9" i="37"/>
  <c r="G9" i="37"/>
  <c r="H9" i="37"/>
  <c r="K4" i="39" l="1"/>
  <c r="S10" i="41"/>
  <c r="R14" i="41"/>
  <c r="K14" i="41"/>
  <c r="L8" i="41"/>
  <c r="N13" i="32"/>
  <c r="N9" i="41"/>
  <c r="V11" i="41"/>
  <c r="U14" i="41"/>
  <c r="T10" i="41" l="1"/>
  <c r="T14" i="41" s="1"/>
  <c r="S14" i="41"/>
  <c r="V14" i="41"/>
  <c r="W11" i="41"/>
  <c r="M8" i="41"/>
  <c r="L14" i="41"/>
  <c r="E15" i="41" s="1"/>
  <c r="E16" i="41" s="1"/>
  <c r="O9" i="41"/>
  <c r="E12" i="25"/>
  <c r="F12" i="25"/>
  <c r="G12" i="25"/>
  <c r="H12" i="25"/>
  <c r="C64" i="7"/>
  <c r="D64" i="7"/>
  <c r="E64" i="7"/>
  <c r="F64" i="7"/>
  <c r="G64" i="7"/>
  <c r="H64" i="7"/>
  <c r="I64" i="7"/>
  <c r="J64" i="7"/>
  <c r="K64" i="7"/>
  <c r="L64" i="7"/>
  <c r="M64" i="7"/>
  <c r="B64" i="7"/>
  <c r="T12" i="34"/>
  <c r="B63" i="7" s="1"/>
  <c r="T9" i="34"/>
  <c r="B60" i="7" s="1"/>
  <c r="F14" i="35"/>
  <c r="F50" i="34"/>
  <c r="G50" i="34" s="1"/>
  <c r="F48" i="34"/>
  <c r="U9" i="34" s="1"/>
  <c r="C60" i="7" s="1"/>
  <c r="F32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P20" i="34" s="1"/>
  <c r="F12" i="34"/>
  <c r="G12" i="34"/>
  <c r="H12" i="34"/>
  <c r="I12" i="34"/>
  <c r="J12" i="34"/>
  <c r="K12" i="34"/>
  <c r="L12" i="34"/>
  <c r="M12" i="34"/>
  <c r="N12" i="34"/>
  <c r="O12" i="34"/>
  <c r="P12" i="34"/>
  <c r="F13" i="34"/>
  <c r="G13" i="34"/>
  <c r="H13" i="34"/>
  <c r="I13" i="34"/>
  <c r="J13" i="34"/>
  <c r="K13" i="34"/>
  <c r="L13" i="34"/>
  <c r="M13" i="34"/>
  <c r="N13" i="34"/>
  <c r="O13" i="34"/>
  <c r="P13" i="34"/>
  <c r="F14" i="34"/>
  <c r="G14" i="34"/>
  <c r="H14" i="34"/>
  <c r="I14" i="34"/>
  <c r="J14" i="34"/>
  <c r="K14" i="34"/>
  <c r="L14" i="34"/>
  <c r="M14" i="34"/>
  <c r="N14" i="34"/>
  <c r="O14" i="34"/>
  <c r="P14" i="34"/>
  <c r="E14" i="34"/>
  <c r="E13" i="34"/>
  <c r="E12" i="34"/>
  <c r="O15" i="34"/>
  <c r="F16" i="34"/>
  <c r="G16" i="34"/>
  <c r="H16" i="34"/>
  <c r="I16" i="34"/>
  <c r="J16" i="34"/>
  <c r="K16" i="34"/>
  <c r="L16" i="34"/>
  <c r="M16" i="34"/>
  <c r="N16" i="34"/>
  <c r="O16" i="34"/>
  <c r="P16" i="34"/>
  <c r="E16" i="34"/>
  <c r="K15" i="34"/>
  <c r="F3" i="35"/>
  <c r="F4" i="35"/>
  <c r="F6" i="35"/>
  <c r="F7" i="35"/>
  <c r="F8" i="35"/>
  <c r="F9" i="35"/>
  <c r="F10" i="35"/>
  <c r="F11" i="35"/>
  <c r="F12" i="35"/>
  <c r="F13" i="35"/>
  <c r="F7" i="34"/>
  <c r="G7" i="34"/>
  <c r="H7" i="34"/>
  <c r="I7" i="34"/>
  <c r="J7" i="34"/>
  <c r="K7" i="34"/>
  <c r="L7" i="34"/>
  <c r="M7" i="34"/>
  <c r="N7" i="34"/>
  <c r="O7" i="34"/>
  <c r="P7" i="34"/>
  <c r="F8" i="34"/>
  <c r="G8" i="34"/>
  <c r="H8" i="34"/>
  <c r="I8" i="34"/>
  <c r="J8" i="34"/>
  <c r="K8" i="34"/>
  <c r="L8" i="34"/>
  <c r="M8" i="34"/>
  <c r="N8" i="34"/>
  <c r="O8" i="34"/>
  <c r="P8" i="34"/>
  <c r="F9" i="34"/>
  <c r="G9" i="34"/>
  <c r="H9" i="34"/>
  <c r="I9" i="34"/>
  <c r="J9" i="34"/>
  <c r="K9" i="34"/>
  <c r="L9" i="34"/>
  <c r="M9" i="34"/>
  <c r="N9" i="34"/>
  <c r="O9" i="34"/>
  <c r="P9" i="34"/>
  <c r="F10" i="34"/>
  <c r="G10" i="34"/>
  <c r="H10" i="34"/>
  <c r="I10" i="34"/>
  <c r="J10" i="34"/>
  <c r="K10" i="34"/>
  <c r="L10" i="34"/>
  <c r="M10" i="34"/>
  <c r="N10" i="34"/>
  <c r="O10" i="34"/>
  <c r="P10" i="34"/>
  <c r="E10" i="34"/>
  <c r="E9" i="34"/>
  <c r="E8" i="34"/>
  <c r="E7" i="34"/>
  <c r="C39" i="7"/>
  <c r="D39" i="7"/>
  <c r="E39" i="7"/>
  <c r="F39" i="7"/>
  <c r="G39" i="7"/>
  <c r="H39" i="7"/>
  <c r="I39" i="7"/>
  <c r="J39" i="7"/>
  <c r="K39" i="7"/>
  <c r="L39" i="7"/>
  <c r="M39" i="7"/>
  <c r="C40" i="7"/>
  <c r="D40" i="7"/>
  <c r="E40" i="7"/>
  <c r="F40" i="7"/>
  <c r="G40" i="7"/>
  <c r="H40" i="7"/>
  <c r="I40" i="7"/>
  <c r="J40" i="7"/>
  <c r="K40" i="7"/>
  <c r="L40" i="7"/>
  <c r="M40" i="7"/>
  <c r="B40" i="7"/>
  <c r="B39" i="7"/>
  <c r="C37" i="7"/>
  <c r="D37" i="7"/>
  <c r="E37" i="7"/>
  <c r="F37" i="7"/>
  <c r="G37" i="7"/>
  <c r="H37" i="7"/>
  <c r="I37" i="7"/>
  <c r="J37" i="7"/>
  <c r="K37" i="7"/>
  <c r="L37" i="7"/>
  <c r="M37" i="7"/>
  <c r="B37" i="7"/>
  <c r="C34" i="7"/>
  <c r="D34" i="7"/>
  <c r="E34" i="7"/>
  <c r="F34" i="7"/>
  <c r="G34" i="7"/>
  <c r="H34" i="7"/>
  <c r="I34" i="7"/>
  <c r="J34" i="7"/>
  <c r="K34" i="7"/>
  <c r="L34" i="7"/>
  <c r="M34" i="7"/>
  <c r="B34" i="7"/>
  <c r="M24" i="32"/>
  <c r="L24" i="32"/>
  <c r="K24" i="32"/>
  <c r="J24" i="32"/>
  <c r="I24" i="32"/>
  <c r="H24" i="32"/>
  <c r="G24" i="32"/>
  <c r="F24" i="32"/>
  <c r="E24" i="32"/>
  <c r="D24" i="32"/>
  <c r="C24" i="32"/>
  <c r="B24" i="32"/>
  <c r="F15" i="35" l="1"/>
  <c r="M14" i="41"/>
  <c r="N8" i="41"/>
  <c r="X11" i="41"/>
  <c r="W14" i="41"/>
  <c r="I15" i="34"/>
  <c r="I41" i="34" s="1"/>
  <c r="J15" i="34"/>
  <c r="P15" i="34"/>
  <c r="H15" i="34"/>
  <c r="G15" i="34"/>
  <c r="N15" i="34"/>
  <c r="F15" i="34"/>
  <c r="F41" i="34" s="1"/>
  <c r="E15" i="34"/>
  <c r="E20" i="34" s="1"/>
  <c r="M15" i="34"/>
  <c r="L15" i="34"/>
  <c r="L40" i="34"/>
  <c r="D5" i="37"/>
  <c r="P9" i="41"/>
  <c r="O46" i="34"/>
  <c r="AD8" i="34" s="1"/>
  <c r="L59" i="7" s="1"/>
  <c r="O40" i="34"/>
  <c r="N40" i="34"/>
  <c r="K40" i="34"/>
  <c r="J40" i="34"/>
  <c r="I40" i="34"/>
  <c r="E40" i="34"/>
  <c r="N46" i="34"/>
  <c r="AC8" i="34" s="1"/>
  <c r="K59" i="7" s="1"/>
  <c r="I30" i="34"/>
  <c r="L46" i="34"/>
  <c r="AA8" i="34" s="1"/>
  <c r="I59" i="7" s="1"/>
  <c r="M30" i="34"/>
  <c r="E30" i="34"/>
  <c r="H40" i="34"/>
  <c r="K46" i="34"/>
  <c r="Z8" i="34" s="1"/>
  <c r="H59" i="7" s="1"/>
  <c r="G40" i="34"/>
  <c r="J46" i="34"/>
  <c r="Y8" i="34" s="1"/>
  <c r="G59" i="7" s="1"/>
  <c r="M46" i="34"/>
  <c r="AB8" i="34" s="1"/>
  <c r="J59" i="7" s="1"/>
  <c r="P40" i="34"/>
  <c r="F40" i="34"/>
  <c r="I46" i="34"/>
  <c r="X8" i="34" s="1"/>
  <c r="F59" i="7" s="1"/>
  <c r="H46" i="34"/>
  <c r="W8" i="34" s="1"/>
  <c r="E59" i="7" s="1"/>
  <c r="E46" i="34"/>
  <c r="T8" i="34" s="1"/>
  <c r="B59" i="7" s="1"/>
  <c r="G46" i="34"/>
  <c r="V8" i="34" s="1"/>
  <c r="D59" i="7" s="1"/>
  <c r="M40" i="34"/>
  <c r="P46" i="34"/>
  <c r="AE8" i="34" s="1"/>
  <c r="M59" i="7" s="1"/>
  <c r="F46" i="34"/>
  <c r="U8" i="34" s="1"/>
  <c r="C59" i="7" s="1"/>
  <c r="L41" i="34"/>
  <c r="G48" i="34"/>
  <c r="H48" i="34" s="1"/>
  <c r="I48" i="34" s="1"/>
  <c r="J48" i="34" s="1"/>
  <c r="K48" i="34" s="1"/>
  <c r="L48" i="34" s="1"/>
  <c r="M48" i="34" s="1"/>
  <c r="J41" i="34"/>
  <c r="H41" i="34"/>
  <c r="H50" i="34"/>
  <c r="V12" i="34"/>
  <c r="D63" i="7" s="1"/>
  <c r="G41" i="34"/>
  <c r="P41" i="34"/>
  <c r="U12" i="34"/>
  <c r="C63" i="7" s="1"/>
  <c r="O41" i="34"/>
  <c r="W9" i="34"/>
  <c r="E60" i="7" s="1"/>
  <c r="AA9" i="34"/>
  <c r="I60" i="7" s="1"/>
  <c r="N41" i="34"/>
  <c r="V9" i="34"/>
  <c r="D60" i="7" s="1"/>
  <c r="M41" i="34"/>
  <c r="K41" i="34"/>
  <c r="L31" i="34"/>
  <c r="G31" i="34"/>
  <c r="J31" i="34"/>
  <c r="I31" i="34"/>
  <c r="H31" i="34"/>
  <c r="J19" i="34"/>
  <c r="E19" i="34"/>
  <c r="H30" i="34"/>
  <c r="G30" i="34"/>
  <c r="H19" i="34"/>
  <c r="P30" i="34"/>
  <c r="F30" i="34"/>
  <c r="O30" i="34"/>
  <c r="N30" i="34"/>
  <c r="L30" i="34"/>
  <c r="K30" i="34"/>
  <c r="J30" i="34"/>
  <c r="K20" i="34"/>
  <c r="J20" i="34"/>
  <c r="I20" i="34"/>
  <c r="H20" i="34"/>
  <c r="G20" i="34"/>
  <c r="I19" i="34"/>
  <c r="F19" i="34"/>
  <c r="G19" i="34"/>
  <c r="P19" i="34"/>
  <c r="O19" i="34"/>
  <c r="N19" i="34"/>
  <c r="M19" i="34"/>
  <c r="L19" i="34"/>
  <c r="K19" i="34"/>
  <c r="N37" i="7"/>
  <c r="N39" i="7"/>
  <c r="N40" i="7"/>
  <c r="N34" i="7"/>
  <c r="N24" i="32"/>
  <c r="Y11" i="41" l="1"/>
  <c r="Y14" i="41" s="1"/>
  <c r="Y15" i="41" s="1"/>
  <c r="Y16" i="41" s="1"/>
  <c r="X14" i="41"/>
  <c r="O8" i="41"/>
  <c r="O14" i="41" s="1"/>
  <c r="N14" i="41"/>
  <c r="P14" i="41"/>
  <c r="Q9" i="41"/>
  <c r="Q14" i="41" s="1"/>
  <c r="M15" i="41" s="1"/>
  <c r="M16" i="41" s="1"/>
  <c r="F20" i="34"/>
  <c r="F31" i="34"/>
  <c r="E41" i="34"/>
  <c r="E45" i="34" s="1"/>
  <c r="T4" i="34" s="1"/>
  <c r="E31" i="34"/>
  <c r="D8" i="37"/>
  <c r="D9" i="37" s="1"/>
  <c r="C27" i="39" s="1"/>
  <c r="C28" i="39" s="1"/>
  <c r="D28" i="39" s="1"/>
  <c r="H45" i="34"/>
  <c r="W4" i="34" s="1"/>
  <c r="J45" i="34"/>
  <c r="F45" i="34"/>
  <c r="G45" i="34"/>
  <c r="I45" i="34"/>
  <c r="X4" i="34" s="1"/>
  <c r="N59" i="7"/>
  <c r="Y9" i="34"/>
  <c r="G60" i="7" s="1"/>
  <c r="N48" i="34"/>
  <c r="AB9" i="34"/>
  <c r="J60" i="7" s="1"/>
  <c r="X9" i="34"/>
  <c r="F60" i="7" s="1"/>
  <c r="Z9" i="34"/>
  <c r="H60" i="7" s="1"/>
  <c r="I50" i="34"/>
  <c r="W12" i="34"/>
  <c r="E63" i="7" s="1"/>
  <c r="P45" i="34"/>
  <c r="O45" i="34"/>
  <c r="N45" i="34"/>
  <c r="M45" i="34"/>
  <c r="L45" i="34"/>
  <c r="K45" i="34"/>
  <c r="E28" i="39" l="1"/>
  <c r="Y4" i="34"/>
  <c r="U4" i="34"/>
  <c r="V4" i="34"/>
  <c r="O48" i="34"/>
  <c r="AC9" i="34"/>
  <c r="K60" i="7" s="1"/>
  <c r="AD4" i="34"/>
  <c r="AE4" i="34"/>
  <c r="J50" i="34"/>
  <c r="X12" i="34"/>
  <c r="F63" i="7" s="1"/>
  <c r="AC4" i="34"/>
  <c r="Z4" i="34"/>
  <c r="AA4" i="34"/>
  <c r="AB4" i="34"/>
  <c r="E30" i="39" l="1"/>
  <c r="F28" i="39"/>
  <c r="P48" i="34"/>
  <c r="AE9" i="34" s="1"/>
  <c r="M60" i="7" s="1"/>
  <c r="AD9" i="34"/>
  <c r="L60" i="7" s="1"/>
  <c r="K50" i="34"/>
  <c r="Y12" i="34"/>
  <c r="G63" i="7" s="1"/>
  <c r="F30" i="39" l="1"/>
  <c r="G28" i="39"/>
  <c r="L50" i="34"/>
  <c r="Z12" i="34"/>
  <c r="H63" i="7" s="1"/>
  <c r="G30" i="39" l="1"/>
  <c r="H28" i="39"/>
  <c r="M50" i="34"/>
  <c r="AA12" i="34"/>
  <c r="I63" i="7" s="1"/>
  <c r="K31" i="34"/>
  <c r="I28" i="39" l="1"/>
  <c r="H30" i="39"/>
  <c r="N50" i="34"/>
  <c r="AB12" i="34"/>
  <c r="J63" i="7" s="1"/>
  <c r="L20" i="34"/>
  <c r="J28" i="39" l="1"/>
  <c r="I30" i="39"/>
  <c r="O50" i="34"/>
  <c r="AC12" i="34"/>
  <c r="K63" i="7" s="1"/>
  <c r="M31" i="34"/>
  <c r="M20" i="34"/>
  <c r="J30" i="39" l="1"/>
  <c r="K30" i="39"/>
  <c r="P50" i="34"/>
  <c r="AE12" i="34" s="1"/>
  <c r="M63" i="7" s="1"/>
  <c r="AD12" i="34"/>
  <c r="L63" i="7" s="1"/>
  <c r="N31" i="34"/>
  <c r="N20" i="34"/>
  <c r="O31" i="34" l="1"/>
  <c r="O20" i="34"/>
  <c r="P31" i="34" l="1"/>
  <c r="N64" i="7" l="1"/>
  <c r="N63" i="7"/>
  <c r="N60" i="7"/>
  <c r="N41" i="7" l="1"/>
  <c r="H41" i="7" l="1"/>
  <c r="I41" i="7"/>
  <c r="J41" i="7"/>
  <c r="K41" i="7"/>
  <c r="L41" i="7"/>
  <c r="M41" i="7"/>
  <c r="G41" i="7" l="1"/>
  <c r="B41" i="7" l="1"/>
  <c r="C41" i="7"/>
  <c r="D41" i="7"/>
  <c r="E41" i="7"/>
  <c r="F41" i="7"/>
  <c r="B2" i="7" l="1"/>
  <c r="K3" i="34" l="1"/>
  <c r="H2" i="7"/>
  <c r="H16" i="7" s="1"/>
  <c r="P3" i="34"/>
  <c r="M2" i="7"/>
  <c r="M16" i="7" s="1"/>
  <c r="J3" i="34"/>
  <c r="G2" i="7"/>
  <c r="G16" i="7" s="1"/>
  <c r="I3" i="34"/>
  <c r="F2" i="7"/>
  <c r="F16" i="7" s="1"/>
  <c r="H3" i="34"/>
  <c r="E2" i="7"/>
  <c r="G3" i="34"/>
  <c r="D2" i="7"/>
  <c r="D16" i="7" s="1"/>
  <c r="O3" i="34"/>
  <c r="L2" i="7"/>
  <c r="L16" i="7" s="1"/>
  <c r="F3" i="34"/>
  <c r="C2" i="7"/>
  <c r="C16" i="7" s="1"/>
  <c r="L3" i="34"/>
  <c r="I2" i="7"/>
  <c r="I16" i="7" s="1"/>
  <c r="N3" i="34"/>
  <c r="K2" i="7"/>
  <c r="K16" i="7" s="1"/>
  <c r="M3" i="34"/>
  <c r="J2" i="7"/>
  <c r="J16" i="7" s="1"/>
  <c r="B16" i="7"/>
  <c r="E3" i="34"/>
  <c r="N3" i="32"/>
  <c r="N2" i="7" l="1"/>
  <c r="N16" i="7" s="1"/>
  <c r="E16" i="7"/>
  <c r="G2" i="39" l="1"/>
  <c r="N4" i="34"/>
  <c r="K29" i="7"/>
  <c r="K3" i="7" s="1"/>
  <c r="K6" i="32"/>
  <c r="N32" i="34" s="1"/>
  <c r="N5" i="34"/>
  <c r="K10" i="32"/>
  <c r="N49" i="34" s="1"/>
  <c r="G5" i="34"/>
  <c r="G4" i="34"/>
  <c r="D29" i="7"/>
  <c r="D3" i="7" s="1"/>
  <c r="D6" i="32"/>
  <c r="G32" i="34" s="1"/>
  <c r="D10" i="32"/>
  <c r="G49" i="34" s="1"/>
  <c r="H5" i="34"/>
  <c r="E6" i="32"/>
  <c r="H4" i="34"/>
  <c r="E29" i="7"/>
  <c r="E3" i="7" s="1"/>
  <c r="E10" i="32"/>
  <c r="H49" i="34" s="1"/>
  <c r="F6" i="32"/>
  <c r="I32" i="34" s="1"/>
  <c r="I4" i="34"/>
  <c r="I5" i="34"/>
  <c r="F29" i="7"/>
  <c r="F3" i="7" s="1"/>
  <c r="F10" i="32"/>
  <c r="I49" i="34" s="1"/>
  <c r="P4" i="34"/>
  <c r="P5" i="34"/>
  <c r="M29" i="7"/>
  <c r="M3" i="7" s="1"/>
  <c r="M6" i="32"/>
  <c r="P32" i="34" s="1"/>
  <c r="M10" i="32"/>
  <c r="P49" i="34" s="1"/>
  <c r="J29" i="7"/>
  <c r="J3" i="7" s="1"/>
  <c r="M4" i="34"/>
  <c r="J6" i="32"/>
  <c r="M32" i="34" s="1"/>
  <c r="M5" i="34"/>
  <c r="J10" i="32"/>
  <c r="M49" i="34" s="1"/>
  <c r="H6" i="32"/>
  <c r="K32" i="34" s="1"/>
  <c r="H29" i="7"/>
  <c r="H3" i="7" s="1"/>
  <c r="K4" i="34"/>
  <c r="K5" i="34"/>
  <c r="H10" i="32"/>
  <c r="K49" i="34" s="1"/>
  <c r="O4" i="34"/>
  <c r="L29" i="7"/>
  <c r="L3" i="7" s="1"/>
  <c r="O5" i="34"/>
  <c r="L6" i="32"/>
  <c r="O32" i="34" s="1"/>
  <c r="L10" i="32"/>
  <c r="O49" i="34" s="1"/>
  <c r="I29" i="7"/>
  <c r="I3" i="7" s="1"/>
  <c r="I6" i="32"/>
  <c r="L32" i="34" s="1"/>
  <c r="L4" i="34"/>
  <c r="L5" i="34"/>
  <c r="I10" i="32"/>
  <c r="L49" i="34" s="1"/>
  <c r="G6" i="32"/>
  <c r="J32" i="34" s="1"/>
  <c r="J5" i="34"/>
  <c r="J4" i="34"/>
  <c r="G29" i="7"/>
  <c r="G3" i="7" s="1"/>
  <c r="G4" i="7" s="1"/>
  <c r="G10" i="32"/>
  <c r="J49" i="34" s="1"/>
  <c r="E4" i="34"/>
  <c r="E5" i="34"/>
  <c r="N4" i="32"/>
  <c r="N5" i="32" s="1"/>
  <c r="B29" i="7"/>
  <c r="B10" i="32"/>
  <c r="E49" i="34" s="1"/>
  <c r="F4" i="34"/>
  <c r="F5" i="34"/>
  <c r="C29" i="7"/>
  <c r="C3" i="7" s="1"/>
  <c r="C6" i="32"/>
  <c r="C10" i="32"/>
  <c r="F49" i="34" s="1"/>
  <c r="H2" i="39" l="1"/>
  <c r="I2" i="39" s="1"/>
  <c r="J2" i="39" s="1"/>
  <c r="E16" i="32"/>
  <c r="H32" i="34" s="1"/>
  <c r="B11" i="32"/>
  <c r="B12" i="32" s="1"/>
  <c r="B19" i="32" s="1"/>
  <c r="AB11" i="34"/>
  <c r="J62" i="7" s="1"/>
  <c r="J11" i="32"/>
  <c r="J31" i="7" s="1"/>
  <c r="K11" i="32"/>
  <c r="AA11" i="34"/>
  <c r="I62" i="7" s="1"/>
  <c r="I11" i="32"/>
  <c r="C11" i="32"/>
  <c r="C31" i="7" s="1"/>
  <c r="X11" i="34"/>
  <c r="F62" i="7" s="1"/>
  <c r="F11" i="32"/>
  <c r="E11" i="32"/>
  <c r="Y11" i="34"/>
  <c r="G62" i="7" s="1"/>
  <c r="G11" i="32"/>
  <c r="G31" i="7" s="1"/>
  <c r="D11" i="32"/>
  <c r="AE11" i="34"/>
  <c r="M62" i="7" s="1"/>
  <c r="M11" i="32"/>
  <c r="H11" i="32"/>
  <c r="H31" i="7" s="1"/>
  <c r="AD11" i="34"/>
  <c r="L62" i="7" s="1"/>
  <c r="L11" i="32"/>
  <c r="L31" i="7" s="1"/>
  <c r="O47" i="34"/>
  <c r="AD10" i="34" s="1"/>
  <c r="L61" i="7" s="1"/>
  <c r="E47" i="34"/>
  <c r="T10" i="34" s="1"/>
  <c r="B61" i="7" s="1"/>
  <c r="T11" i="34"/>
  <c r="B62" i="7" s="1"/>
  <c r="M47" i="34"/>
  <c r="AB10" i="34" s="1"/>
  <c r="J61" i="7" s="1"/>
  <c r="N47" i="34"/>
  <c r="AC10" i="34" s="1"/>
  <c r="K61" i="7" s="1"/>
  <c r="AC11" i="34"/>
  <c r="K62" i="7" s="1"/>
  <c r="L47" i="34"/>
  <c r="AA10" i="34" s="1"/>
  <c r="I61" i="7" s="1"/>
  <c r="I47" i="34"/>
  <c r="X10" i="34" s="1"/>
  <c r="F61" i="7" s="1"/>
  <c r="K47" i="34"/>
  <c r="Z10" i="34" s="1"/>
  <c r="H61" i="7" s="1"/>
  <c r="Z11" i="34"/>
  <c r="H62" i="7" s="1"/>
  <c r="J47" i="34"/>
  <c r="Y10" i="34" s="1"/>
  <c r="G61" i="7" s="1"/>
  <c r="P47" i="34"/>
  <c r="AE10" i="34" s="1"/>
  <c r="M61" i="7" s="1"/>
  <c r="H47" i="34"/>
  <c r="W10" i="34" s="1"/>
  <c r="E61" i="7" s="1"/>
  <c r="W11" i="34"/>
  <c r="E62" i="7" s="1"/>
  <c r="G47" i="34"/>
  <c r="V10" i="34" s="1"/>
  <c r="D61" i="7" s="1"/>
  <c r="V11" i="34"/>
  <c r="D62" i="7" s="1"/>
  <c r="F47" i="34"/>
  <c r="U10" i="34" s="1"/>
  <c r="C61" i="7" s="1"/>
  <c r="U11" i="34"/>
  <c r="C62" i="7" s="1"/>
  <c r="O6" i="34"/>
  <c r="O35" i="34"/>
  <c r="M6" i="34"/>
  <c r="M35" i="34"/>
  <c r="G6" i="34"/>
  <c r="G35" i="34"/>
  <c r="J6" i="34"/>
  <c r="J35" i="34"/>
  <c r="I6" i="34"/>
  <c r="I35" i="34"/>
  <c r="E6" i="34"/>
  <c r="E35" i="34"/>
  <c r="P6" i="34"/>
  <c r="P35" i="34"/>
  <c r="N6" i="34"/>
  <c r="N35" i="34"/>
  <c r="L6" i="34"/>
  <c r="L35" i="34"/>
  <c r="H6" i="34"/>
  <c r="H33" i="34" s="1"/>
  <c r="H35" i="34"/>
  <c r="F6" i="34"/>
  <c r="F35" i="34"/>
  <c r="K6" i="34"/>
  <c r="K35" i="34"/>
  <c r="D17" i="7"/>
  <c r="D4" i="7"/>
  <c r="D18" i="7" s="1"/>
  <c r="F4" i="7"/>
  <c r="F18" i="7" s="1"/>
  <c r="F17" i="7"/>
  <c r="L4" i="7"/>
  <c r="L18" i="7" s="1"/>
  <c r="L17" i="7"/>
  <c r="G30" i="7"/>
  <c r="F30" i="7"/>
  <c r="F31" i="7"/>
  <c r="J17" i="7"/>
  <c r="J4" i="7"/>
  <c r="J18" i="7" s="1"/>
  <c r="B3" i="7"/>
  <c r="N29" i="7"/>
  <c r="N3" i="7" s="1"/>
  <c r="N4" i="7" s="1"/>
  <c r="I30" i="7"/>
  <c r="H30" i="7"/>
  <c r="M30" i="7"/>
  <c r="E30" i="7"/>
  <c r="E31" i="7"/>
  <c r="K30" i="7"/>
  <c r="C4" i="7"/>
  <c r="C18" i="7" s="1"/>
  <c r="C17" i="7"/>
  <c r="E4" i="7"/>
  <c r="E18" i="7" s="1"/>
  <c r="E17" i="7"/>
  <c r="B30" i="7"/>
  <c r="N10" i="32"/>
  <c r="M4" i="7"/>
  <c r="M18" i="7" s="1"/>
  <c r="M17" i="7"/>
  <c r="G18" i="7"/>
  <c r="G17" i="7"/>
  <c r="N6" i="32"/>
  <c r="N16" i="32" s="1"/>
  <c r="H17" i="7"/>
  <c r="H4" i="7"/>
  <c r="H18" i="7" s="1"/>
  <c r="K17" i="7"/>
  <c r="K4" i="7"/>
  <c r="K18" i="7" s="1"/>
  <c r="L30" i="7"/>
  <c r="J30" i="7"/>
  <c r="D30" i="7"/>
  <c r="D31" i="7"/>
  <c r="C30" i="7"/>
  <c r="I4" i="7"/>
  <c r="I18" i="7" s="1"/>
  <c r="I17" i="7"/>
  <c r="K2" i="39" l="1"/>
  <c r="E21" i="34"/>
  <c r="O23" i="34"/>
  <c r="J22" i="34"/>
  <c r="O22" i="34"/>
  <c r="M25" i="34"/>
  <c r="M22" i="34"/>
  <c r="N25" i="34"/>
  <c r="I25" i="34"/>
  <c r="G25" i="34"/>
  <c r="I23" i="34"/>
  <c r="B65" i="7"/>
  <c r="B8" i="7" s="1"/>
  <c r="G24" i="34"/>
  <c r="M23" i="34"/>
  <c r="M65" i="7"/>
  <c r="M8" i="7" s="1"/>
  <c r="N22" i="34"/>
  <c r="K22" i="34"/>
  <c r="F24" i="34"/>
  <c r="K23" i="34"/>
  <c r="N23" i="34"/>
  <c r="M24" i="34"/>
  <c r="F23" i="34"/>
  <c r="H65" i="7"/>
  <c r="H8" i="7" s="1"/>
  <c r="I24" i="34"/>
  <c r="F25" i="34"/>
  <c r="I22" i="34"/>
  <c r="O25" i="34"/>
  <c r="L65" i="7"/>
  <c r="L8" i="7" s="1"/>
  <c r="N61" i="7"/>
  <c r="K65" i="7"/>
  <c r="K8" i="7" s="1"/>
  <c r="L23" i="34"/>
  <c r="E24" i="34"/>
  <c r="G65" i="7"/>
  <c r="G8" i="7" s="1"/>
  <c r="L22" i="34"/>
  <c r="G22" i="34"/>
  <c r="E23" i="34"/>
  <c r="J65" i="7"/>
  <c r="J8" i="7" s="1"/>
  <c r="K24" i="34"/>
  <c r="E25" i="34"/>
  <c r="K25" i="34"/>
  <c r="N24" i="34"/>
  <c r="J25" i="34"/>
  <c r="O24" i="34"/>
  <c r="F22" i="34"/>
  <c r="F65" i="7"/>
  <c r="F8" i="7" s="1"/>
  <c r="J24" i="34"/>
  <c r="I65" i="7"/>
  <c r="I8" i="7" s="1"/>
  <c r="L25" i="34"/>
  <c r="P25" i="34"/>
  <c r="J23" i="34"/>
  <c r="L24" i="34"/>
  <c r="G23" i="34"/>
  <c r="E22" i="34"/>
  <c r="N62" i="7"/>
  <c r="C65" i="7"/>
  <c r="C8" i="7" s="1"/>
  <c r="D65" i="7"/>
  <c r="D8" i="7" s="1"/>
  <c r="E65" i="7"/>
  <c r="E8" i="7" s="1"/>
  <c r="G39" i="34"/>
  <c r="D33" i="7"/>
  <c r="D35" i="7" s="1"/>
  <c r="D18" i="32"/>
  <c r="K39" i="34"/>
  <c r="H18" i="32"/>
  <c r="H33" i="7"/>
  <c r="H35" i="7" s="1"/>
  <c r="I18" i="32"/>
  <c r="L39" i="34"/>
  <c r="I33" i="7"/>
  <c r="I35" i="7" s="1"/>
  <c r="I39" i="34"/>
  <c r="F18" i="32"/>
  <c r="F33" i="7"/>
  <c r="F35" i="7" s="1"/>
  <c r="H25" i="34"/>
  <c r="K33" i="7"/>
  <c r="K35" i="7" s="1"/>
  <c r="N39" i="34"/>
  <c r="K18" i="32"/>
  <c r="H22" i="34"/>
  <c r="F39" i="34"/>
  <c r="C18" i="32"/>
  <c r="C33" i="7"/>
  <c r="C35" i="7" s="1"/>
  <c r="J33" i="7"/>
  <c r="J35" i="7" s="1"/>
  <c r="M39" i="34"/>
  <c r="J18" i="32"/>
  <c r="H24" i="34"/>
  <c r="P24" i="34"/>
  <c r="J39" i="34"/>
  <c r="G33" i="7"/>
  <c r="G35" i="7" s="1"/>
  <c r="G18" i="32"/>
  <c r="E39" i="34"/>
  <c r="B18" i="32"/>
  <c r="B33" i="7"/>
  <c r="H23" i="34"/>
  <c r="P22" i="34"/>
  <c r="P39" i="34"/>
  <c r="M33" i="7"/>
  <c r="M35" i="7" s="1"/>
  <c r="M18" i="32"/>
  <c r="L18" i="32"/>
  <c r="O39" i="34"/>
  <c r="L33" i="7"/>
  <c r="L35" i="7" s="1"/>
  <c r="P23" i="34"/>
  <c r="H39" i="34"/>
  <c r="E33" i="7"/>
  <c r="E35" i="7" s="1"/>
  <c r="E18" i="32"/>
  <c r="F12" i="32"/>
  <c r="F19" i="32" s="1"/>
  <c r="J12" i="32"/>
  <c r="J19" i="32" s="1"/>
  <c r="H12" i="32"/>
  <c r="H19" i="32" s="1"/>
  <c r="G12" i="32"/>
  <c r="G19" i="32" s="1"/>
  <c r="H32" i="7"/>
  <c r="C32" i="7"/>
  <c r="C19" i="7" s="1"/>
  <c r="B31" i="7"/>
  <c r="B32" i="7" s="1"/>
  <c r="N11" i="32"/>
  <c r="E32" i="7"/>
  <c r="J32" i="7"/>
  <c r="N30" i="7"/>
  <c r="F32" i="7"/>
  <c r="D32" i="7"/>
  <c r="M31" i="7"/>
  <c r="M32" i="7" s="1"/>
  <c r="M12" i="32"/>
  <c r="M19" i="32" s="1"/>
  <c r="G32" i="7"/>
  <c r="B4" i="7"/>
  <c r="B18" i="7" s="1"/>
  <c r="B17" i="7"/>
  <c r="L32" i="7"/>
  <c r="C12" i="32"/>
  <c r="C19" i="32" s="1"/>
  <c r="K31" i="7"/>
  <c r="K32" i="7" s="1"/>
  <c r="K12" i="32"/>
  <c r="K19" i="32" s="1"/>
  <c r="I31" i="7"/>
  <c r="I32" i="7" s="1"/>
  <c r="I12" i="32"/>
  <c r="I19" i="32" s="1"/>
  <c r="D12" i="32"/>
  <c r="D19" i="32" s="1"/>
  <c r="E12" i="32"/>
  <c r="E19" i="32" s="1"/>
  <c r="N18" i="7"/>
  <c r="N17" i="7"/>
  <c r="L12" i="32"/>
  <c r="L19" i="32" s="1"/>
  <c r="O8" i="7" l="1"/>
  <c r="D21" i="32"/>
  <c r="D36" i="7"/>
  <c r="E21" i="32"/>
  <c r="E36" i="7"/>
  <c r="I21" i="34"/>
  <c r="I29" i="34" s="1"/>
  <c r="X2" i="34" s="1"/>
  <c r="G36" i="7"/>
  <c r="G21" i="32"/>
  <c r="G25" i="32" s="1"/>
  <c r="H36" i="7"/>
  <c r="H21" i="32"/>
  <c r="H25" i="32" s="1"/>
  <c r="I21" i="32"/>
  <c r="I25" i="32" s="1"/>
  <c r="I36" i="7"/>
  <c r="J21" i="32"/>
  <c r="J25" i="32" s="1"/>
  <c r="J36" i="7"/>
  <c r="K21" i="32"/>
  <c r="K25" i="32" s="1"/>
  <c r="K36" i="7"/>
  <c r="L21" i="32"/>
  <c r="L25" i="32" s="1"/>
  <c r="L36" i="7"/>
  <c r="M21" i="32"/>
  <c r="M36" i="7"/>
  <c r="C21" i="32"/>
  <c r="C25" i="32" s="1"/>
  <c r="C36" i="7"/>
  <c r="E29" i="34"/>
  <c r="N65" i="7"/>
  <c r="N8" i="7" s="1"/>
  <c r="M21" i="34"/>
  <c r="M29" i="34" s="1"/>
  <c r="AB2" i="34" s="1"/>
  <c r="AB3" i="34"/>
  <c r="J49" i="7"/>
  <c r="J50" i="7" s="1"/>
  <c r="G49" i="7"/>
  <c r="G50" i="7" s="1"/>
  <c r="Y3" i="34"/>
  <c r="N33" i="7"/>
  <c r="N35" i="7" s="1"/>
  <c r="B35" i="7"/>
  <c r="E49" i="7"/>
  <c r="E50" i="7" s="1"/>
  <c r="W3" i="34"/>
  <c r="D49" i="7"/>
  <c r="D50" i="7" s="1"/>
  <c r="V3" i="34"/>
  <c r="N18" i="32"/>
  <c r="F49" i="7"/>
  <c r="F50" i="7" s="1"/>
  <c r="X3" i="34"/>
  <c r="B49" i="7"/>
  <c r="T3" i="34"/>
  <c r="C49" i="7"/>
  <c r="C50" i="7" s="1"/>
  <c r="U3" i="34"/>
  <c r="AC3" i="34"/>
  <c r="K49" i="7"/>
  <c r="K50" i="7" s="1"/>
  <c r="M49" i="7"/>
  <c r="M50" i="7" s="1"/>
  <c r="AE3" i="34"/>
  <c r="H49" i="7"/>
  <c r="Z3" i="34"/>
  <c r="I49" i="7"/>
  <c r="I50" i="7" s="1"/>
  <c r="AA3" i="34"/>
  <c r="AD3" i="34"/>
  <c r="L49" i="7"/>
  <c r="L50" i="7" s="1"/>
  <c r="H19" i="7"/>
  <c r="E25" i="32"/>
  <c r="H21" i="34"/>
  <c r="H29" i="34" s="1"/>
  <c r="F21" i="34"/>
  <c r="F29" i="34" s="1"/>
  <c r="D25" i="32"/>
  <c r="G21" i="34"/>
  <c r="G29" i="34" s="1"/>
  <c r="M25" i="32"/>
  <c r="P21" i="34"/>
  <c r="P29" i="34" s="1"/>
  <c r="L21" i="34"/>
  <c r="L29" i="34" s="1"/>
  <c r="O21" i="34"/>
  <c r="O29" i="34" s="1"/>
  <c r="J21" i="34"/>
  <c r="J29" i="34" s="1"/>
  <c r="N21" i="34"/>
  <c r="N29" i="34" s="1"/>
  <c r="K21" i="34"/>
  <c r="K29" i="34" s="1"/>
  <c r="M19" i="7"/>
  <c r="I19" i="7"/>
  <c r="K19" i="7"/>
  <c r="G19" i="7"/>
  <c r="B19" i="7"/>
  <c r="N12" i="32"/>
  <c r="N19" i="32" s="1"/>
  <c r="D19" i="7"/>
  <c r="J19" i="7"/>
  <c r="E19" i="7"/>
  <c r="L19" i="7"/>
  <c r="F19" i="7"/>
  <c r="N31" i="7"/>
  <c r="N32" i="7" s="1"/>
  <c r="D51" i="7" l="1"/>
  <c r="D38" i="7"/>
  <c r="E51" i="7"/>
  <c r="E38" i="7"/>
  <c r="F36" i="7"/>
  <c r="F21" i="32"/>
  <c r="F25" i="32" s="1"/>
  <c r="G51" i="7"/>
  <c r="G38" i="7"/>
  <c r="H51" i="7"/>
  <c r="H38" i="7"/>
  <c r="I51" i="7"/>
  <c r="I38" i="7"/>
  <c r="J51" i="7"/>
  <c r="J38" i="7"/>
  <c r="K51" i="7"/>
  <c r="K38" i="7"/>
  <c r="L51" i="7"/>
  <c r="L38" i="7"/>
  <c r="M51" i="7"/>
  <c r="M38" i="7"/>
  <c r="C51" i="7"/>
  <c r="C38" i="7"/>
  <c r="B47" i="7"/>
  <c r="T2" i="34"/>
  <c r="B36" i="7"/>
  <c r="B21" i="32"/>
  <c r="F47" i="7"/>
  <c r="J47" i="7"/>
  <c r="B50" i="7"/>
  <c r="Z2" i="34"/>
  <c r="H47" i="7"/>
  <c r="H21" i="7" s="1"/>
  <c r="AE2" i="34"/>
  <c r="M47" i="7"/>
  <c r="M21" i="7" s="1"/>
  <c r="H50" i="7"/>
  <c r="N49" i="7"/>
  <c r="N50" i="7" s="1"/>
  <c r="V2" i="34"/>
  <c r="D47" i="7"/>
  <c r="D21" i="7" s="1"/>
  <c r="Y2" i="34"/>
  <c r="G47" i="7"/>
  <c r="G21" i="7" s="1"/>
  <c r="U2" i="34"/>
  <c r="C47" i="7"/>
  <c r="C21" i="7" s="1"/>
  <c r="AD2" i="34"/>
  <c r="L47" i="7"/>
  <c r="L21" i="7" s="1"/>
  <c r="W2" i="34"/>
  <c r="E47" i="7"/>
  <c r="E21" i="7" s="1"/>
  <c r="AA2" i="34"/>
  <c r="I47" i="7"/>
  <c r="I21" i="7" s="1"/>
  <c r="AC2" i="34"/>
  <c r="K47" i="7"/>
  <c r="K21" i="7" s="1"/>
  <c r="N19" i="7"/>
  <c r="B48" i="7" l="1"/>
  <c r="B21" i="7"/>
  <c r="J53" i="7"/>
  <c r="J6" i="7" s="1"/>
  <c r="J10" i="7" s="1"/>
  <c r="J7" i="7" s="1"/>
  <c r="J21" i="7"/>
  <c r="F48" i="7"/>
  <c r="F21" i="7"/>
  <c r="D52" i="7"/>
  <c r="D42" i="7"/>
  <c r="E52" i="7"/>
  <c r="E42" i="7"/>
  <c r="F51" i="7"/>
  <c r="F53" i="7" s="1"/>
  <c r="F38" i="7"/>
  <c r="G52" i="7"/>
  <c r="G42" i="7"/>
  <c r="H52" i="7"/>
  <c r="H42" i="7"/>
  <c r="I52" i="7"/>
  <c r="I42" i="7"/>
  <c r="J52" i="7"/>
  <c r="J42" i="7"/>
  <c r="J48" i="7"/>
  <c r="K52" i="7"/>
  <c r="K42" i="7"/>
  <c r="L52" i="7"/>
  <c r="L42" i="7"/>
  <c r="M52" i="7"/>
  <c r="M42" i="7"/>
  <c r="C52" i="7"/>
  <c r="C42" i="7"/>
  <c r="B51" i="7"/>
  <c r="N36" i="7"/>
  <c r="N38" i="7" s="1"/>
  <c r="B38" i="7"/>
  <c r="N21" i="32"/>
  <c r="N25" i="32" s="1"/>
  <c r="B25" i="32"/>
  <c r="N47" i="7"/>
  <c r="N21" i="7" s="1"/>
  <c r="D53" i="7"/>
  <c r="D48" i="7"/>
  <c r="K53" i="7"/>
  <c r="K48" i="7"/>
  <c r="E53" i="7"/>
  <c r="E48" i="7"/>
  <c r="M53" i="7"/>
  <c r="M48" i="7"/>
  <c r="L53" i="7"/>
  <c r="L48" i="7"/>
  <c r="G53" i="7"/>
  <c r="G48" i="7"/>
  <c r="H53" i="7"/>
  <c r="H48" i="7"/>
  <c r="I53" i="7"/>
  <c r="I48" i="7"/>
  <c r="C53" i="7"/>
  <c r="C48" i="7"/>
  <c r="J54" i="7" l="1"/>
  <c r="J9" i="7"/>
  <c r="J22" i="7"/>
  <c r="D5" i="7"/>
  <c r="D20" i="7" s="1"/>
  <c r="D66" i="7"/>
  <c r="E66" i="7"/>
  <c r="E5" i="7"/>
  <c r="F6" i="7"/>
  <c r="F52" i="7"/>
  <c r="F42" i="7"/>
  <c r="F54" i="7" s="1"/>
  <c r="G66" i="7"/>
  <c r="G5" i="7"/>
  <c r="G20" i="7" s="1"/>
  <c r="H5" i="7"/>
  <c r="H20" i="7" s="1"/>
  <c r="H66" i="7"/>
  <c r="I5" i="7"/>
  <c r="I20" i="7" s="1"/>
  <c r="I66" i="7"/>
  <c r="J66" i="7"/>
  <c r="J5" i="7"/>
  <c r="K66" i="7"/>
  <c r="K5" i="7"/>
  <c r="K20" i="7" s="1"/>
  <c r="L66" i="7"/>
  <c r="L5" i="7"/>
  <c r="L20" i="7" s="1"/>
  <c r="M66" i="7"/>
  <c r="M5" i="7"/>
  <c r="M20" i="7" s="1"/>
  <c r="C66" i="7"/>
  <c r="C5" i="7"/>
  <c r="C20" i="7" s="1"/>
  <c r="B52" i="7"/>
  <c r="B42" i="7"/>
  <c r="N42" i="7"/>
  <c r="N51" i="7"/>
  <c r="N53" i="7" s="1"/>
  <c r="B53" i="7"/>
  <c r="N48" i="7"/>
  <c r="L6" i="7"/>
  <c r="L54" i="7"/>
  <c r="E6" i="7"/>
  <c r="E54" i="7"/>
  <c r="I6" i="7"/>
  <c r="I54" i="7"/>
  <c r="K6" i="7"/>
  <c r="K54" i="7"/>
  <c r="C6" i="7"/>
  <c r="C54" i="7"/>
  <c r="H6" i="7"/>
  <c r="H54" i="7"/>
  <c r="D6" i="7"/>
  <c r="D54" i="7"/>
  <c r="G6" i="7"/>
  <c r="G54" i="7"/>
  <c r="M6" i="7"/>
  <c r="M54" i="7"/>
  <c r="O6" i="7" l="1"/>
  <c r="E20" i="7"/>
  <c r="F66" i="7"/>
  <c r="F5" i="7"/>
  <c r="O5" i="7" s="1"/>
  <c r="F10" i="7"/>
  <c r="J11" i="7"/>
  <c r="J20" i="7"/>
  <c r="N6" i="7"/>
  <c r="N54" i="7"/>
  <c r="B66" i="7"/>
  <c r="B5" i="7"/>
  <c r="N66" i="7"/>
  <c r="N5" i="7"/>
  <c r="F8" i="39" s="1"/>
  <c r="F16" i="39" s="1"/>
  <c r="B6" i="7"/>
  <c r="B54" i="7"/>
  <c r="N52" i="7"/>
  <c r="G10" i="7"/>
  <c r="G7" i="7" s="1"/>
  <c r="G11" i="7"/>
  <c r="K10" i="7"/>
  <c r="K7" i="7" s="1"/>
  <c r="K11" i="7"/>
  <c r="M10" i="7"/>
  <c r="M7" i="7" s="1"/>
  <c r="M11" i="7"/>
  <c r="D10" i="7"/>
  <c r="D7" i="7" s="1"/>
  <c r="D11" i="7"/>
  <c r="I10" i="7"/>
  <c r="I7" i="7" s="1"/>
  <c r="I11" i="7"/>
  <c r="E10" i="7"/>
  <c r="E7" i="7" s="1"/>
  <c r="E11" i="7"/>
  <c r="C10" i="7"/>
  <c r="C7" i="7" s="1"/>
  <c r="C11" i="7"/>
  <c r="H10" i="7"/>
  <c r="H7" i="7" s="1"/>
  <c r="H11" i="7"/>
  <c r="L10" i="7"/>
  <c r="L7" i="7" s="1"/>
  <c r="L11" i="7"/>
  <c r="E8" i="39" l="1"/>
  <c r="F20" i="7"/>
  <c r="F11" i="7"/>
  <c r="O11" i="7" s="1"/>
  <c r="O12" i="7" s="1"/>
  <c r="E9" i="39" s="1"/>
  <c r="F7" i="7"/>
  <c r="F9" i="7"/>
  <c r="F22" i="7"/>
  <c r="J23" i="7"/>
  <c r="J24" i="7" s="1"/>
  <c r="J12" i="7"/>
  <c r="B20" i="7"/>
  <c r="B11" i="7"/>
  <c r="B10" i="7"/>
  <c r="N20" i="7"/>
  <c r="N11" i="7"/>
  <c r="N10" i="7"/>
  <c r="I23" i="7"/>
  <c r="I12" i="7"/>
  <c r="K12" i="7"/>
  <c r="K23" i="7"/>
  <c r="M9" i="7"/>
  <c r="M22" i="7"/>
  <c r="I9" i="7"/>
  <c r="I22" i="7"/>
  <c r="D12" i="7"/>
  <c r="D23" i="7"/>
  <c r="H22" i="7"/>
  <c r="H9" i="7"/>
  <c r="C9" i="7"/>
  <c r="C22" i="7"/>
  <c r="K9" i="7"/>
  <c r="K22" i="7"/>
  <c r="C12" i="7"/>
  <c r="C23" i="7"/>
  <c r="G23" i="7"/>
  <c r="G24" i="7" s="1"/>
  <c r="G12" i="7"/>
  <c r="D9" i="7"/>
  <c r="D22" i="7"/>
  <c r="L23" i="7"/>
  <c r="L12" i="7"/>
  <c r="E12" i="7"/>
  <c r="E23" i="7"/>
  <c r="H12" i="7"/>
  <c r="H23" i="7"/>
  <c r="M12" i="7"/>
  <c r="M23" i="7"/>
  <c r="L22" i="7"/>
  <c r="L9" i="7"/>
  <c r="E9" i="7"/>
  <c r="E22" i="7"/>
  <c r="G9" i="7"/>
  <c r="G22" i="7"/>
  <c r="F17" i="39" l="1"/>
  <c r="P6" i="39" s="1"/>
  <c r="F12" i="7"/>
  <c r="F23" i="7"/>
  <c r="F24" i="7" s="1"/>
  <c r="N23" i="7"/>
  <c r="N24" i="7" s="1"/>
  <c r="N12" i="7"/>
  <c r="F9" i="39" s="1"/>
  <c r="N7" i="7"/>
  <c r="N22" i="7"/>
  <c r="N9" i="7"/>
  <c r="G8" i="39"/>
  <c r="B7" i="7"/>
  <c r="B9" i="7"/>
  <c r="B22" i="7"/>
  <c r="B23" i="7"/>
  <c r="B24" i="7" s="1"/>
  <c r="B12" i="7"/>
  <c r="H24" i="7"/>
  <c r="K24" i="7"/>
  <c r="L24" i="7"/>
  <c r="M24" i="7"/>
  <c r="D24" i="7"/>
  <c r="E24" i="7"/>
  <c r="C24" i="7"/>
  <c r="I24" i="7"/>
  <c r="D10" i="39" l="1"/>
  <c r="G17" i="39"/>
  <c r="G16" i="39"/>
  <c r="P7" i="39" s="1"/>
  <c r="H8" i="39"/>
  <c r="D12" i="39" l="1"/>
  <c r="Q4" i="39" s="1"/>
  <c r="R4" i="39" s="1"/>
  <c r="S4" i="39" s="1"/>
  <c r="E10" i="39"/>
  <c r="H17" i="39"/>
  <c r="H16" i="39"/>
  <c r="I8" i="39"/>
  <c r="P8" i="39" l="1"/>
  <c r="E12" i="39"/>
  <c r="D13" i="39"/>
  <c r="D19" i="39"/>
  <c r="I17" i="39"/>
  <c r="I16" i="39"/>
  <c r="P9" i="39" s="1"/>
  <c r="J8" i="39"/>
  <c r="F10" i="39"/>
  <c r="F12" i="39" s="1"/>
  <c r="G9" i="39"/>
  <c r="E13" i="39" l="1"/>
  <c r="Q5" i="39"/>
  <c r="R5" i="39" s="1"/>
  <c r="F31" i="39"/>
  <c r="F32" i="39" s="1"/>
  <c r="Q6" i="39"/>
  <c r="R6" i="39" s="1"/>
  <c r="E19" i="39"/>
  <c r="F19" i="39" s="1"/>
  <c r="E15" i="39"/>
  <c r="E31" i="39"/>
  <c r="J17" i="39"/>
  <c r="K17" i="39" s="1"/>
  <c r="J16" i="39"/>
  <c r="F13" i="39"/>
  <c r="F15" i="39" s="1"/>
  <c r="H9" i="39"/>
  <c r="G10" i="39"/>
  <c r="F14" i="39"/>
  <c r="E14" i="39"/>
  <c r="S5" i="39" l="1"/>
  <c r="S6" i="39" s="1"/>
  <c r="F33" i="39"/>
  <c r="K16" i="39"/>
  <c r="P10" i="39"/>
  <c r="E33" i="39"/>
  <c r="E32" i="39"/>
  <c r="G12" i="39"/>
  <c r="Q7" i="39" s="1"/>
  <c r="R7" i="39" s="1"/>
  <c r="I9" i="39"/>
  <c r="H10" i="39"/>
  <c r="H12" i="39" s="1"/>
  <c r="P17" i="39" l="1" a="1"/>
  <c r="P17" i="39" s="1"/>
  <c r="S7" i="39"/>
  <c r="H31" i="39"/>
  <c r="Q8" i="39"/>
  <c r="R8" i="39" s="1"/>
  <c r="H33" i="39"/>
  <c r="H32" i="39"/>
  <c r="G19" i="39"/>
  <c r="G31" i="39"/>
  <c r="G32" i="39" s="1"/>
  <c r="J9" i="39"/>
  <c r="I10" i="39"/>
  <c r="H14" i="39"/>
  <c r="H13" i="39"/>
  <c r="H15" i="39" s="1"/>
  <c r="G14" i="39"/>
  <c r="G13" i="39"/>
  <c r="S8" i="39" l="1"/>
  <c r="J10" i="39"/>
  <c r="K10" i="39" s="1"/>
  <c r="K9" i="39"/>
  <c r="G15" i="39"/>
  <c r="H19" i="39"/>
  <c r="G33" i="39"/>
  <c r="I12" i="39"/>
  <c r="Q9" i="39" s="1"/>
  <c r="R9" i="39" s="1"/>
  <c r="S9" i="39" l="1"/>
  <c r="J12" i="39"/>
  <c r="I19" i="39"/>
  <c r="I31" i="39"/>
  <c r="I13" i="39"/>
  <c r="I14" i="39"/>
  <c r="K12" i="39" l="1"/>
  <c r="Q10" i="39"/>
  <c r="R10" i="39" s="1"/>
  <c r="J13" i="39"/>
  <c r="K13" i="39" s="1"/>
  <c r="J19" i="39"/>
  <c r="K19" i="39" s="1"/>
  <c r="J31" i="39"/>
  <c r="K31" i="39" s="1"/>
  <c r="K32" i="39" s="1"/>
  <c r="J14" i="39"/>
  <c r="K14" i="39" s="1"/>
  <c r="I33" i="39"/>
  <c r="I32" i="39"/>
  <c r="I15" i="39"/>
  <c r="S10" i="39" l="1"/>
  <c r="P16" i="39"/>
  <c r="P15" i="39"/>
  <c r="J32" i="39"/>
  <c r="J33" i="39"/>
  <c r="J15" i="39"/>
  <c r="K15" i="3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Masi Kouhnavard</author>
  </authors>
  <commentList>
    <comment ref="C1" authorId="0" shapeId="0" xr:uid="{C2406AB0-77B9-45B3-A1A8-3874A24177F8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چون فروش 1403 رو کامل نداشتم فرض فروش 1404 که بهتر بوده رو در نظر گرفتم</t>
        </r>
      </text>
    </comment>
    <comment ref="A7" authorId="0" shapeId="0" xr:uid="{3AF34B9B-9ABA-4A4F-99DD-71F1405160A5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این یعنی ADR رشدی بیش از تورم داشته باشه
100 یعنی رشدی نداشته</t>
        </r>
      </text>
    </comment>
    <comment ref="M15" authorId="0" shapeId="0" xr:uid="{009FEC0B-F449-4A2B-AC99-4FDC05EDF706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ارزش فعلی جریان نقدی اپراتور
تو فرمول مدت  قرارداد مهم است
</t>
        </r>
      </text>
    </comment>
    <comment ref="B16" authorId="0" shapeId="0" xr:uid="{54442FF7-4BD7-438C-98D9-2074031FC5DD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هزینه طراحی 
بخش از اجرا</t>
        </r>
      </text>
    </comment>
    <comment ref="M16" authorId="0" shapeId="0" xr:uid="{01B90A5B-4A75-4687-9D1E-CB685A2754B4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نرخ بازده داخلی قرارداد برای اپراتور
( اگر هزینه اولیه نگذاشته باشیم این متریک حساب نمیشود )
اگر نرخ بازده از نرخ تنزیل کمتر باشد یعنی پروژه زیان ده هست</t>
        </r>
      </text>
    </comment>
    <comment ref="M17" authorId="0" shapeId="0" xr:uid="{7F179325-93AC-4FCE-9591-56775221C14A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مدت‌زمان برگشت سرمایه اولیه ( تو مدلی که رهن میدیم برمیگرده اینو حساب نمیکنیم حالتی که پول میدیم قرار نیست پس بگیریم)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Masi Kouhnavard</author>
  </authors>
  <commentList>
    <comment ref="A21" authorId="0" shapeId="0" xr:uid="{CF376B1C-A36B-4E5F-A806-FFF0371ABECD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میانگین هزینه های مستقیم اتاق به ازای اتاق استفاد شده
</t>
        </r>
      </text>
    </comment>
    <comment ref="A22" authorId="0" shapeId="0" xr:uid="{2D16B987-89E0-453C-9D72-4F43B2BC716B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میانگین کل هزینه ها اقامتگاه به کل ظرفیت اتاق ها</t>
        </r>
      </text>
    </comment>
    <comment ref="A23" authorId="0" shapeId="0" xr:uid="{9F922739-C5F6-4071-A7D4-820CCEAB5C69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شبیه RevPAR، اما به سود عملیاتی نگاه می‌کند.
مناسب برای مقایسه هتل‌های ختلف با ظرفیت متفاوت.</t>
        </r>
      </text>
    </comment>
    <comment ref="A31" authorId="0" shapeId="0" xr:uid="{A459C315-B5B2-4488-A71C-4B543ACB3D75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اتاق رایگان که به مهمان ویژه یا آژآنس داده میشود ، برگشت و تخفیف و اینا
</t>
        </r>
      </text>
    </comment>
    <comment ref="A39" authorId="0" shapeId="0" xr:uid="{9A2A56A8-CAEA-4C1C-894D-DBB70155F66F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اجاره فضاهای هتل به دیگران</t>
        </r>
      </text>
    </comment>
    <comment ref="A47" authorId="0" shapeId="0" xr:uid="{DF64CE15-B5C8-4CC5-9240-F3966C92BCF0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Salaries &amp; Wages – حقوق و دستمزد
هزینه صبحانه اینجا میاد
Employee Benefits – مزایا
Laundry, Linen &amp; Supplies – رختشویی، ملحفه و ملزومات
Guest Supplies – ملزومات مصرفی مهمان (amenities)
Cleaning Supplies –مواد شوینده
Commissions – کمیسیون‌ها (مثلاً OTAها)
Travel Agent Commissions – کمیسیون آژانس‌ها
Reservation Expenses – هزینه‌های رزرو
Other Expenses – سایر هزینه‌های مستقیم Rooms</t>
        </r>
      </text>
    </comment>
    <comment ref="A49" authorId="0" shapeId="0" xr:uid="{215B0079-9C88-4372-A744-DE59DB9B763C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Cost of Food Sales – بهای تمام‌شده مواد غذایی
Cost of Beverage Sales – بهای تمام‌شده نوشیدنی‌ها
Salaries &amp; Wages – حقوق و دستمزد کارکنان رستوران/آشپزخانه
Employee Benefits – مزایا
China, Glassware, Silver, Linen &amp; Uniforms – ظروف، لیوان، نقره‌جات، ملحفه و یونیفرم
Laundry &amp; Cleaning – رختشویی و نظافت
Music &amp; Entertainment – موسیقی و سرگرمی
Menu Printing &amp; Supplies – چاپ منو و ملزومات
Other Expenses – سایر هزینه‌های مستقیم F&amp;B</t>
        </r>
      </text>
    </comment>
    <comment ref="A51" authorId="0" shapeId="0" xr:uid="{1F1203CE-EC14-4ABF-9B1C-69EF4ABEC32B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Cost of Sales – بهای تمام‌شده خدمات
Salaries &amp; Wages – حقوق و دستمزد
Employee Benefits – مزایا
Supplies &amp; Operating Expenses – ملزومات و هزینه‌های عملیاتی
Other Expenses – سایر هزینه‌های مستقیم</t>
        </r>
      </text>
    </comment>
    <comment ref="A60" authorId="0" shapeId="0" xr:uid="{73BF0FF9-3343-4643-9307-7BCF0FE98F90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هزینه‌های فناوری اطلاعات و مخابرات
شامل:
سیستم‌های کامپیوتری و نرم‌افزارهای مدیریت هتل (PMS, POS)
تلفن‌ها و خطوط اینترنت
شبکه داخلی و تجهیزات IT</t>
        </r>
      </text>
    </comment>
    <comment ref="A62" authorId="0" shapeId="0" xr:uid="{6FD2BE97-DEDC-49FD-A785-5E57A7898EF4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نگهداری و تعمیرات ساختمان و تجهیزات هتل
شامل:
تعمیرات اتاق‌ها و بخش‌های عمومی
کارگرهای تعمیر و نگهداری
لوازم و تجهیزات مصرفی برای نگهداری</t>
        </r>
      </text>
    </comment>
    <comment ref="A63" authorId="0" shapeId="0" xr:uid="{9886CAF0-6897-4DD5-AAD5-9033DA2DDD42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آب، برق، گاز، انرژی، بخار، سیستم‌های HVAC، فاضلاب و دفع زباله
قراردادهای سرویس دوره‌ای تجهیزات انرژی (مثلاً سرویس چیلر یا بویلر) 
======
Utilities یکی از بزرگ‌ترین سرفصل‌های هزینه‌ای در هتل‌ها است (معمولاً بعد از حقوق و دستمزد).
به همین دلیل بسیاری از هتل‌ها برای کنترل آن KPI جدا تعریف می‌کنند مثل:
Energy cost per available room</t>
        </r>
      </text>
    </comment>
    <comment ref="A64" authorId="0" shapeId="0" xr:uid="{8792BE8A-887E-4F72-8DD5-3DF47AA5A4C5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هزینه مارکتینگ تیم سنترال که باید اقامتگاه ها شیر بگیرند و همین طور ماموریت پرسنل سنترال به اقامتگاه ها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Masi Kouhnavard</author>
  </authors>
  <commentList>
    <comment ref="A16" authorId="0" shapeId="0" xr:uid="{A31EE345-5588-4896-BBD7-13694FBED3AC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دو وعده نهار و شام لحاظ شده
</t>
        </r>
      </text>
    </comment>
    <comment ref="A22" authorId="0" shapeId="0" xr:uid="{29E6CA3C-59C4-417C-97F9-1656FB59A5A8}">
      <text>
        <r>
          <rPr>
            <b/>
            <sz val="9"/>
            <color indexed="81"/>
            <rFont val="Tahoma"/>
            <family val="2"/>
          </rPr>
          <t>Masi Kouhnavard:</t>
        </r>
        <r>
          <rPr>
            <sz val="9"/>
            <color indexed="81"/>
            <rFont val="Tahoma"/>
            <family val="2"/>
          </rPr>
          <t xml:space="preserve">
اجاره فضاهای هتل به دیگران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Alireza Shokri Masoum</author>
  </authors>
  <commentList>
    <comment ref="C19" authorId="0" shapeId="0" xr:uid="{6C4C5800-CAE2-4745-AFC4-4688C3197E92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5 نفر
بر اساس فایل ارسالی مسی جان میباشد
اعداد بر اساس پلن باید اصللاح گردد</t>
        </r>
      </text>
    </comment>
    <comment ref="D20" authorId="0" shapeId="0" xr:uid="{09A1D590-EB26-4989-9FFF-E7E353852D2F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هزینه صبحانه به ازی هر نفر 70 هزار تومان، هزینه حق سرویس به ازای هر نفر 70 هزار تومان
تمام نفرات هتل</t>
        </r>
      </text>
    </comment>
    <comment ref="C25" authorId="0" shapeId="0" xr:uid="{1312B652-9598-452C-971C-5A2A56BBD656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استفاده از تجربه سینا جان، در ادامه نیاز به محاسبه دقیق با مستندات</t>
        </r>
      </text>
    </comment>
    <comment ref="D25" authorId="0" shapeId="0" xr:uid="{8A8877E7-1BE3-4FAB-ACBA-F9240592430E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خرید منسوجات اسفند 100 میلیون تومان تقسیم بر 6 شد و در ماه های H2 اضافه گردید</t>
        </r>
      </text>
    </comment>
    <comment ref="J25" authorId="0" shapeId="0" xr:uid="{56D5FADF-EFEA-42EE-B8DF-D1BBB51D0E02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خرید 100 میلیون تومان منسحوات هتل </t>
        </r>
      </text>
    </comment>
    <comment ref="D28" authorId="0" shapeId="0" xr:uid="{37E908F0-2EC5-45B7-85D1-98140C3E5498}">
      <text>
        <r>
          <rPr>
            <b/>
            <sz val="9"/>
            <color indexed="81"/>
            <rFont val="Tahoma"/>
            <family val="2"/>
          </rPr>
          <t xml:space="preserve">روزانه 1 میلیون تومان هزینه باربری و سایر
</t>
        </r>
      </text>
    </comment>
    <comment ref="C30" authorId="0" shapeId="0" xr:uid="{A8FB77C0-D291-4737-8B81-F74921D29CE0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3 نفر
بر اساس فایل ارسالی مسی جان میباشد
اعداد بر اساس پلن باید اصللاح گردد</t>
        </r>
      </text>
    </comment>
    <comment ref="D31" authorId="0" shapeId="0" xr:uid="{9C8DF85C-D709-4190-ABBC-A362C39C6BA0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هزینه صبحانه به ازی هر نفر 70 هزار تومان، هزینه حق سرویس به ازای هر نفر 70 هزار تومان
تمام نفرات هتل</t>
        </r>
      </text>
    </comment>
    <comment ref="D34" authorId="0" shapeId="0" xr:uid="{332D86FE-0892-4460-A42E-6721CD5E0EA7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10 میلیون تومان هزینه ثابت سفره خانه</t>
        </r>
      </text>
    </comment>
    <comment ref="P34" authorId="0" shapeId="0" xr:uid="{6F0BD314-07C4-4821-88CC-7D2AE4BFD1E4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خرید ظروف رستوران</t>
        </r>
      </text>
    </comment>
    <comment ref="C35" authorId="0" shapeId="0" xr:uid="{35334AE4-5C8E-4904-A21C-B9E91C5EF2CD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هزینه خرید مواد شوینده ویکبار مصرف به ازای هر نفر 5 هزار تومان بابت 3 وعده</t>
        </r>
      </text>
    </comment>
    <comment ref="D38" authorId="0" shapeId="0" xr:uid="{9F8CE9E5-D354-405E-BB07-56A34315A4F2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10 میلیون تومان هزینه ثاب برای سایر
10 میلیون تومان هزینه ثابت ماهانه برای باربری و پیک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Hani Computer</author>
  </authors>
  <commentList>
    <comment ref="E7" authorId="0" shapeId="0" xr:uid="{759FB4EA-79E2-447A-9120-9953B56E7AF6}">
      <text>
        <r>
          <rPr>
            <b/>
            <sz val="9"/>
            <color indexed="81"/>
            <rFont val="Tahoma"/>
            <family val="2"/>
          </rPr>
          <t>Alireza shokri:</t>
        </r>
        <r>
          <rPr>
            <sz val="9"/>
            <color indexed="81"/>
            <rFont val="Tahoma"/>
            <family val="2"/>
          </rPr>
          <t xml:space="preserve">
یک نفر لاندری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Hani Computer</author>
  </authors>
  <commentList>
    <comment ref="D2" authorId="0" shapeId="0" xr:uid="{C764F234-0CFA-47C5-B42E-9E8B2675081B}">
      <text>
        <r>
          <rPr>
            <b/>
            <sz val="9"/>
            <color indexed="81"/>
            <rFont val="Tahoma"/>
            <family val="2"/>
          </rPr>
          <t>Alireza shokri:
باکس، تشک، بالشت، لحاف به تعداد تخت 
منسوجات تند گردش 3 برابر ظرفیت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8" authorId="0" shapeId="0" xr:uid="{661A5581-9943-4ADD-94C2-0FB0A9C39FE5}">
      <text>
        <r>
          <rPr>
            <b/>
            <sz val="9"/>
            <color indexed="81"/>
            <rFont val="Tahoma"/>
            <family val="2"/>
          </rPr>
          <t>Alireza shokri :</t>
        </r>
        <r>
          <rPr>
            <sz val="9"/>
            <color indexed="81"/>
            <rFont val="Tahoma"/>
            <family val="2"/>
          </rPr>
          <t xml:space="preserve">
10 درصد کل هزینه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Alireza Shokri Masoum</author>
  </authors>
  <commentList>
    <comment ref="B9" authorId="0" shapeId="0" xr:uid="{4332C4B0-62AA-46D8-A15D-C1AA55B8BCF4}">
      <text>
        <r>
          <rPr>
            <b/>
            <sz val="9"/>
            <color indexed="81"/>
            <rFont val="Tahoma"/>
            <family val="2"/>
          </rPr>
          <t>Alireza Shokri Masoum:</t>
        </r>
        <r>
          <rPr>
            <sz val="9"/>
            <color indexed="81"/>
            <rFont val="Tahoma"/>
            <family val="2"/>
          </rPr>
          <t xml:space="preserve">
New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<sst xmlns="http://schemas.openxmlformats.org/spreadsheetml/2006/main" count="548" uniqueCount="329">
  <si>
    <t>Rooms Available</t>
  </si>
  <si>
    <t>Rooms Sold</t>
  </si>
  <si>
    <t>Occupancy</t>
  </si>
  <si>
    <t>Operating Revenue</t>
  </si>
  <si>
    <t>F&amp;B Revenue(Net)</t>
  </si>
  <si>
    <t>F&amp;B Revenue(Gross)</t>
  </si>
  <si>
    <t>F&amp;B  Allowances</t>
  </si>
  <si>
    <t>Other Operated Departments(Net)</t>
  </si>
  <si>
    <t>Other Operated Departments Allowances</t>
  </si>
  <si>
    <t>Other Operated Departments(Gross) (Laundry, Parking, Spa)</t>
  </si>
  <si>
    <t>Rentals &amp; Other Income Allowances</t>
  </si>
  <si>
    <t>Rentals &amp; Other Income (Net)</t>
  </si>
  <si>
    <t>Departmental Expenses</t>
  </si>
  <si>
    <t>Rooms Expenses</t>
  </si>
  <si>
    <t>Food and Beverage</t>
  </si>
  <si>
    <t>Total Departmental Expenses</t>
  </si>
  <si>
    <t>Other Operated Depts( Spa, Parking, Laundry,...)</t>
  </si>
  <si>
    <t>Total Operating Revenue(NMV)</t>
  </si>
  <si>
    <t>Undistributed Operating Expenses</t>
  </si>
  <si>
    <t xml:space="preserve">Admin. and General </t>
  </si>
  <si>
    <t>Property Oper. and Maintenance</t>
  </si>
  <si>
    <t xml:space="preserve"> Utilities </t>
  </si>
  <si>
    <t>Total Undistributed Expenses</t>
  </si>
  <si>
    <t xml:space="preserve"> Sales and Marketing </t>
  </si>
  <si>
    <t>Info and Telecommunications, Systems</t>
  </si>
  <si>
    <t>Gross Operating Profit (GOP)</t>
  </si>
  <si>
    <t>Total Undistributed Expenses/NMV</t>
  </si>
  <si>
    <t>Total Departmental Expenses/NMV</t>
  </si>
  <si>
    <t>Miscellaneous Income , Rentals &amp; Other Income (Gross)</t>
  </si>
  <si>
    <t>Total Expenses</t>
  </si>
  <si>
    <t>GOPPAR/RevPAR</t>
  </si>
  <si>
    <t>Cost Share</t>
  </si>
  <si>
    <t>P&amp;L</t>
  </si>
  <si>
    <t>Back to P&amp;L</t>
  </si>
  <si>
    <t>RevPAR (Total Revenue /Available Rooms)</t>
  </si>
  <si>
    <t>CPAR(Total Expenses /Available Rooms)</t>
  </si>
  <si>
    <t>CPOR (Departmental Expenses per Occupied Room)</t>
  </si>
  <si>
    <t>GOPPAR(Gross Operating Profit / Available Rooms)</t>
  </si>
  <si>
    <t>Corporate Office Reimbursables</t>
  </si>
  <si>
    <t>GOP Margin (32%-38%)</t>
  </si>
  <si>
    <t>Rooms Profit Margin(62% - 70%)</t>
  </si>
  <si>
    <t>F&amp;B Profit Margin(18% - 28%)</t>
  </si>
  <si>
    <t>Spa/Other Dept. Profit Margin(25%-35%)</t>
  </si>
  <si>
    <t>Occupancy(65% – 75%)</t>
  </si>
  <si>
    <t>Total</t>
  </si>
  <si>
    <t>Mehr</t>
  </si>
  <si>
    <t>Aban</t>
  </si>
  <si>
    <t>Azar</t>
  </si>
  <si>
    <t>Dey</t>
  </si>
  <si>
    <t>Bahman</t>
  </si>
  <si>
    <t>Esfand</t>
  </si>
  <si>
    <t>Sharivar</t>
  </si>
  <si>
    <t>OR</t>
  </si>
  <si>
    <t>Available Room</t>
  </si>
  <si>
    <t>TOTAL</t>
  </si>
  <si>
    <t>RNS</t>
  </si>
  <si>
    <t>Farvardin</t>
  </si>
  <si>
    <t>ADR</t>
  </si>
  <si>
    <t>اتاق</t>
  </si>
  <si>
    <t>ظرفیت</t>
  </si>
  <si>
    <t>BreakFast</t>
  </si>
  <si>
    <t>Cleaning Supplies مواد شوینده</t>
  </si>
  <si>
    <t xml:space="preserve">Guest Supplies  ملزومات مصرفی مهمان </t>
  </si>
  <si>
    <t>Laundry, Linen &amp; Supplies   رختشویی، ملحفه و ملزومات</t>
  </si>
  <si>
    <t>HC Count-Room</t>
  </si>
  <si>
    <t>HC Count-F&amp;B</t>
  </si>
  <si>
    <t>HC Count-Other Operated Depts</t>
  </si>
  <si>
    <t>HC Count-Admin&amp;General</t>
  </si>
  <si>
    <t>صبحانه پرسنل</t>
  </si>
  <si>
    <t>حق سرویس</t>
  </si>
  <si>
    <t>L1</t>
  </si>
  <si>
    <t>L2</t>
  </si>
  <si>
    <t>L3</t>
  </si>
  <si>
    <t xml:space="preserve">Sara </t>
  </si>
  <si>
    <t>Departmental</t>
  </si>
  <si>
    <t>Room</t>
  </si>
  <si>
    <t>Salaries &amp; Wages
 حقوق و دستمزد</t>
  </si>
  <si>
    <t>حقوق و دستمزد</t>
  </si>
  <si>
    <t>Employee Benefits 
 مزایا</t>
  </si>
  <si>
    <t>خرید صبحانه و آبدارخانه پرسنل / ایاب و ذهاب پرسنل</t>
  </si>
  <si>
    <t>Commissions 
 کمیسیون‌ها (مثلاً OTAها)</t>
  </si>
  <si>
    <t>Commision</t>
  </si>
  <si>
    <t>خرید صبحانه و آبدارخانه هتل</t>
  </si>
  <si>
    <t>Cleaning Supplies
مواد شوینده</t>
  </si>
  <si>
    <t>لوازم بهداشتی مصرفی ( ملزومات مصرفی هتلی مهمانان ،شوینده و نظافتی و پلاستیکی )</t>
  </si>
  <si>
    <t xml:space="preserve">Guest Supplies
 ملزومات مصرفی مهمان </t>
  </si>
  <si>
    <t>ملزومات مصرفی متفرقه</t>
  </si>
  <si>
    <t>Laundry, Linen &amp; Supplies 
 رختشویی، ملحفه و ملزومات، روبالشی، پتو، حوله</t>
  </si>
  <si>
    <t xml:space="preserve">منسوجات ,لاندری </t>
  </si>
  <si>
    <t xml:space="preserve">Decorations
 دکور موفت و گل تو اتاق  یا لابی </t>
  </si>
  <si>
    <t>Other Expenses 
 سایر هزینه‌های مستقیم Rooms</t>
  </si>
  <si>
    <t>باربری و پیک / نظافت غیر روتین / لباس فرم / سایر</t>
  </si>
  <si>
    <t>F&amp;B</t>
  </si>
  <si>
    <t>Salaries &amp; Wages 
 حقوق و دستمزد کارکنان رستوران/آشپزخانه</t>
  </si>
  <si>
    <t>Cost of Food Sales 
 بهای تمام‌شده مواد غذایی</t>
  </si>
  <si>
    <t>خرید مواد اولیه غذایی سفارشات</t>
  </si>
  <si>
    <t>Cost of Beverage Sales – بهای تمام‌شده نوشیدنی‌ها</t>
  </si>
  <si>
    <t>China, Glassware, Silver, Linen &amp; Uniforms 
 ظروف، لیوان، نقره‌جات، ملحفه و یونیفرم</t>
  </si>
  <si>
    <t>ملزومات مصرفی متفرقه /سفره خانه ای</t>
  </si>
  <si>
    <t>Laundry &amp; Cleaning 
 رختشویی و نظافت</t>
  </si>
  <si>
    <t>Music &amp; Entertainment 
 موسیقی و سرگرمی</t>
  </si>
  <si>
    <t>خلق تجربه</t>
  </si>
  <si>
    <t xml:space="preserve">Decorations
 دکور موقت و گل تو رستوران </t>
  </si>
  <si>
    <t>Other Expenses 
 سایر هزینه‌های مستقیم F&amp;B</t>
  </si>
  <si>
    <t>باربری و پیک و سایر</t>
  </si>
  <si>
    <t>Other Operated Depts</t>
  </si>
  <si>
    <t>Salaries &amp; Wages 
 حقوق و دستمزد</t>
  </si>
  <si>
    <t>Employee Benefits – مزایا</t>
  </si>
  <si>
    <t>Cost of Sales – بهای تمام‌شده خدمات</t>
  </si>
  <si>
    <t>Supplies &amp; Operating Expenses – ملزومات و هزینه‌های عملیاتی</t>
  </si>
  <si>
    <t>Other Expenses – سایر هزینه‌های مستقیم</t>
  </si>
  <si>
    <t xml:space="preserve"> Undistributed Expenses</t>
  </si>
  <si>
    <t>Admin&amp;General</t>
  </si>
  <si>
    <t>Sales &amp; Marketing</t>
  </si>
  <si>
    <t>اینترنت و شبکه  و PMS</t>
  </si>
  <si>
    <t>تعمیر و نگهداری اموال و ساختمان و فضای سبز</t>
  </si>
  <si>
    <t>Utilities</t>
  </si>
  <si>
    <t>آب و برق و گاز گازوئیل و تلفن مصرفی</t>
  </si>
  <si>
    <t>Description</t>
  </si>
  <si>
    <t>ساختمان و نوسازی</t>
  </si>
  <si>
    <t>رنگ و بنایی و ....</t>
  </si>
  <si>
    <t>اتاق‌ها (Guestroom)</t>
  </si>
  <si>
    <t>تخت، میز تحریر، صندلی، کمد، چراغ رومیزی، تلویزیون، مینی‌بار</t>
  </si>
  <si>
    <t>لابی و فضاهای عمومی</t>
  </si>
  <si>
    <t>مبلمان لابی، میز پذیرش، لوسترها، فرش‌های ثابت</t>
  </si>
  <si>
    <t>رستوران / F&amp;B</t>
  </si>
  <si>
    <t>میز و صندلی رستوران، تجهیزات آشپزخانه صنعتی (فر، یخچال صنعتی، ماشین ظرفشویی)</t>
  </si>
  <si>
    <t>خدمات پشتیبانی</t>
  </si>
  <si>
    <t>ماشین لباسشویی صنعتی، خشک‌کن، سیستم تهویه مرکزی (HVAC)</t>
  </si>
  <si>
    <t>IT و سیستم‌ها</t>
  </si>
  <si>
    <t>سیستم PMS/ POS، سرورها، سخت‌افزار شبکه، سیستم‌های امنیتی (CCTV)</t>
  </si>
  <si>
    <t>امکانات جانبی</t>
  </si>
  <si>
    <t>خرید تجهیزات گروه خلق تجربه</t>
  </si>
  <si>
    <t>تجهیزات سالن بدنسازی (تردمیل، دستگاه وزنه)، اسپا (میز ماساژ، تخت درمانی)</t>
  </si>
  <si>
    <t>سایر</t>
  </si>
  <si>
    <t>OS&amp;E / اتاق‌ها (Guestroom)</t>
  </si>
  <si>
    <t>ملحفه، روبالشی، پتو، حوله</t>
  </si>
  <si>
    <t xml:space="preserve">OS&amp;E / رستوران </t>
  </si>
  <si>
    <t>ظروف غذاخوری، کارد و چنگال، لیوان</t>
  </si>
  <si>
    <t>استخدام و آموزش</t>
  </si>
  <si>
    <t>حقوق پرسنل پیش از افتتاح، دوره‌های آموزشی</t>
  </si>
  <si>
    <t>اداری و مجوزها</t>
  </si>
  <si>
    <t>پروانه‌ها و بیمه</t>
  </si>
  <si>
    <t>هزینه سفر نیرویهای سنترال جهت راه اندازی</t>
  </si>
  <si>
    <t>اقامتگاه</t>
  </si>
  <si>
    <t>مرکز هزینه</t>
  </si>
  <si>
    <t>شغل</t>
  </si>
  <si>
    <t>توضیحات</t>
  </si>
  <si>
    <t>مدیر هتل</t>
  </si>
  <si>
    <t>سرآشپز هتل</t>
  </si>
  <si>
    <t>آشپز</t>
  </si>
  <si>
    <t xml:space="preserve">باریستا </t>
  </si>
  <si>
    <t>خدمات رستوران</t>
  </si>
  <si>
    <t>پذیرش</t>
  </si>
  <si>
    <t>بل بوی</t>
  </si>
  <si>
    <t>خانه دار</t>
  </si>
  <si>
    <t>سالن دار</t>
  </si>
  <si>
    <t>OR%</t>
  </si>
  <si>
    <t>Ordibehest</t>
  </si>
  <si>
    <t>Tir</t>
  </si>
  <si>
    <t>Khordad</t>
  </si>
  <si>
    <t>Mordad</t>
  </si>
  <si>
    <t>Shahrivar</t>
  </si>
  <si>
    <t xml:space="preserve">Rooms Sold </t>
  </si>
  <si>
    <t>Rooms Revenue (Gross)</t>
  </si>
  <si>
    <t>Rooms Allowances</t>
  </si>
  <si>
    <t>Rooms Revenue (Net)</t>
  </si>
  <si>
    <t>Rooms Allowances(Complimentary, Refund, Discount)</t>
  </si>
  <si>
    <t>Number of guests</t>
  </si>
  <si>
    <t>ADR (Average Daily Rate)</t>
  </si>
  <si>
    <t xml:space="preserve">Farvardin </t>
  </si>
  <si>
    <t xml:space="preserve">Ordibehesht </t>
  </si>
  <si>
    <t xml:space="preserve">khordad </t>
  </si>
  <si>
    <t xml:space="preserve">Tir </t>
  </si>
  <si>
    <t xml:space="preserve">Mordad </t>
  </si>
  <si>
    <t>تعداد</t>
  </si>
  <si>
    <t>جمع حقوق و مزایا</t>
  </si>
  <si>
    <t>حقوق پایه</t>
  </si>
  <si>
    <t>نگهبانی</t>
  </si>
  <si>
    <t>باغبان</t>
  </si>
  <si>
    <t>AVG Number of guests</t>
  </si>
  <si>
    <t>ضریب حقوق و مزایا</t>
  </si>
  <si>
    <t>Events
یلدا و عید و جشن های تقویمی</t>
  </si>
  <si>
    <t>Restaurant seating capacity</t>
  </si>
  <si>
    <t>Capture Rate</t>
  </si>
  <si>
    <t>نظافت رستوران به ازای هر مهمان</t>
  </si>
  <si>
    <t>FF&amp;E (Furniture, Fixtures &amp;  -Equipment) Capex</t>
  </si>
  <si>
    <t>First</t>
  </si>
  <si>
    <t>Contract NMV Share</t>
  </si>
  <si>
    <t>Contract GOP Share</t>
  </si>
  <si>
    <t>GOP Minimum Guarantee</t>
  </si>
  <si>
    <t>Inflation rate</t>
  </si>
  <si>
    <t>NMV</t>
  </si>
  <si>
    <t>GOP Share(Actual/Budgeted )</t>
  </si>
  <si>
    <t>GOP(Actual/Budgeted )</t>
  </si>
  <si>
    <t>Fixed  Rent(اجاره سالانه)</t>
  </si>
  <si>
    <t>Assets</t>
  </si>
  <si>
    <t>Owner’s Share of GOP (%)</t>
  </si>
  <si>
    <t>Operator’s Share of GOP (%)</t>
  </si>
  <si>
    <t>PreOpening</t>
  </si>
  <si>
    <t>NPV Date</t>
  </si>
  <si>
    <t>NPV Date(Shamsi)</t>
  </si>
  <si>
    <t>1405/12/29</t>
  </si>
  <si>
    <t>1406/12/29</t>
  </si>
  <si>
    <t>1407/12/29</t>
  </si>
  <si>
    <t>range</t>
  </si>
  <si>
    <t>شروع</t>
  </si>
  <si>
    <t>کل سال</t>
  </si>
  <si>
    <t>پایان</t>
  </si>
  <si>
    <t>1408/12/29</t>
  </si>
  <si>
    <t>NMV growth rate</t>
  </si>
  <si>
    <t>Average Dish Price میانگین فروش هر غذا</t>
  </si>
  <si>
    <t>Year 1405</t>
  </si>
  <si>
    <t>Year 1406</t>
  </si>
  <si>
    <t>Year 1407</t>
  </si>
  <si>
    <t>Year 1408</t>
  </si>
  <si>
    <t>Year 1409</t>
  </si>
  <si>
    <t>Year 1410</t>
  </si>
  <si>
    <t>Year 1411</t>
  </si>
  <si>
    <t>1409/12/29</t>
  </si>
  <si>
    <t>1410/12/29</t>
  </si>
  <si>
    <t>1411/12/29</t>
  </si>
  <si>
    <t>آیتم</t>
  </si>
  <si>
    <t>هزینه کل (میلیارد ریال)</t>
  </si>
  <si>
    <t>هزینه ماهیانه (میلیارد ریال)</t>
  </si>
  <si>
    <t>مرحله کانسپت طراحی</t>
  </si>
  <si>
    <t>فاز یک معماری</t>
  </si>
  <si>
    <t>طراحی سازه ها و فونداسیون</t>
  </si>
  <si>
    <t>تهیه فاز دو طراحی (4 رشته)</t>
  </si>
  <si>
    <t>تجهیز کارگاه</t>
  </si>
  <si>
    <t>اجرای سازه و فونداسیون</t>
  </si>
  <si>
    <t>اجرای سفتکاری</t>
  </si>
  <si>
    <t>اجرای تاسیسات مکانیکی و برقی</t>
  </si>
  <si>
    <t>اجرای نازک کاری</t>
  </si>
  <si>
    <t>تست و راه اندازی و تحویل</t>
  </si>
  <si>
    <t>جمع آوری تجهیز کارگاه</t>
  </si>
  <si>
    <t>Hirkani ADR 1404</t>
  </si>
  <si>
    <t>Year 1412</t>
  </si>
  <si>
    <t>1412/12/29</t>
  </si>
  <si>
    <t>Construction, Renovation costs (non-refundable)</t>
  </si>
  <si>
    <t>Owner’s Net Cash Flow</t>
  </si>
  <si>
    <t>Owner’s In Flow</t>
  </si>
  <si>
    <t>Operator’s In Flow</t>
  </si>
  <si>
    <t>Land Area (m²)</t>
  </si>
  <si>
    <t>Land Price (per m²)</t>
  </si>
  <si>
    <t>Land Value</t>
  </si>
  <si>
    <t>Construction and Equipment</t>
  </si>
  <si>
    <t>Total CAPEX</t>
  </si>
  <si>
    <t>Annual Inflation Rate</t>
  </si>
  <si>
    <t>Annual Residential Rental Value</t>
  </si>
  <si>
    <t>Value of Hotel Profit Share</t>
  </si>
  <si>
    <t>Ratio of Hotel Profit Share to Residential Rental Income</t>
  </si>
  <si>
    <t>جمع کل به ازای نفر</t>
  </si>
  <si>
    <t>به ازای هر نفر با در نظر گرفتن اقلام Backup</t>
  </si>
  <si>
    <t>به ازای هر نفر بدون در نظر گرفتن اقلام Backup</t>
  </si>
  <si>
    <t xml:space="preserve">برای سایز 160 و 90 یکسان </t>
  </si>
  <si>
    <t xml:space="preserve">رو تختی </t>
  </si>
  <si>
    <t xml:space="preserve">کاور لحاف </t>
  </si>
  <si>
    <t xml:space="preserve">سایز تخت 90 برای یک نفر </t>
  </si>
  <si>
    <t>محافظ تشک90</t>
  </si>
  <si>
    <t>تشک90</t>
  </si>
  <si>
    <t>تخت / باکس90</t>
  </si>
  <si>
    <t>به ازای هر نفر</t>
  </si>
  <si>
    <t xml:space="preserve">حوله صورت </t>
  </si>
  <si>
    <t xml:space="preserve">حوله حمام </t>
  </si>
  <si>
    <t xml:space="preserve">لحاف </t>
  </si>
  <si>
    <t xml:space="preserve">رو بالشتی </t>
  </si>
  <si>
    <t xml:space="preserve">ملحفه </t>
  </si>
  <si>
    <t>بالشت</t>
  </si>
  <si>
    <t xml:space="preserve">توضیحات </t>
  </si>
  <si>
    <t>مبالغ روز  ( ریال)</t>
  </si>
  <si>
    <t xml:space="preserve">اقلام </t>
  </si>
  <si>
    <t>Pre Opening - OS&amp;E / اتاق‌ها (Guestroom)</t>
  </si>
  <si>
    <t>Estimated ADR (hirkani*Actual INF*Qualification Premium%)</t>
  </si>
  <si>
    <t>Qualification Premium</t>
  </si>
  <si>
    <t>Actual INF</t>
  </si>
  <si>
    <t>Actual ADR 1405-2</t>
  </si>
  <si>
    <t>Other Departments Revenue</t>
  </si>
  <si>
    <t>نرم‌افزارهای اشتراکی، کارتریج پرینتر، دورربین، لوازم اداری مصرفی، اینتزنت و UPS</t>
  </si>
  <si>
    <t>مبلغ با افزایش 60 درصد</t>
  </si>
  <si>
    <t>مسئول تجربه</t>
  </si>
  <si>
    <t>Food Cost</t>
  </si>
  <si>
    <t>Averege Beverage Price</t>
  </si>
  <si>
    <t>Average Check</t>
  </si>
  <si>
    <t>Maintenance</t>
  </si>
  <si>
    <t>1405-05</t>
  </si>
  <si>
    <t>1405-06</t>
  </si>
  <si>
    <t>1405-07</t>
  </si>
  <si>
    <t>1405-08</t>
  </si>
  <si>
    <t>1405-09</t>
  </si>
  <si>
    <t>1405-10</t>
  </si>
  <si>
    <t>1405-11</t>
  </si>
  <si>
    <t>1405-12</t>
  </si>
  <si>
    <t>1406-01</t>
  </si>
  <si>
    <t>1406-02</t>
  </si>
  <si>
    <t>1406-03</t>
  </si>
  <si>
    <t>1406-04</t>
  </si>
  <si>
    <t>1406-05</t>
  </si>
  <si>
    <t>1406-06</t>
  </si>
  <si>
    <t>1406-07</t>
  </si>
  <si>
    <t>1406-08</t>
  </si>
  <si>
    <t>1406-09</t>
  </si>
  <si>
    <t>1406-10</t>
  </si>
  <si>
    <t>1406-11</t>
  </si>
  <si>
    <t>1406-12</t>
  </si>
  <si>
    <t>1407-01</t>
  </si>
  <si>
    <t>1407-02</t>
  </si>
  <si>
    <t>1407-03</t>
  </si>
  <si>
    <t>1407-04</t>
  </si>
  <si>
    <t>مساحت بنا</t>
  </si>
  <si>
    <t>نرخ مبنای ارز</t>
  </si>
  <si>
    <t>قیمت ساخت دلاری</t>
  </si>
  <si>
    <t>درصد مدیریت پیمان</t>
  </si>
  <si>
    <t xml:space="preserve"> هزینه ساخت (بدون مدیریت پیمان)</t>
  </si>
  <si>
    <t xml:space="preserve"> هزینه ساخت (با مدیریت پیمان)</t>
  </si>
  <si>
    <t>تاسیسات</t>
  </si>
  <si>
    <t>1405/05/01</t>
  </si>
  <si>
    <t>R/p</t>
  </si>
  <si>
    <t>SangDeh</t>
  </si>
  <si>
    <t>Date</t>
  </si>
  <si>
    <t>Net Cash Flow</t>
  </si>
  <si>
    <t>Cumulative Cash Flow</t>
  </si>
  <si>
    <t>Net Present Value (NPV)</t>
  </si>
  <si>
    <t>Internal Rate of Return (IRR)</t>
  </si>
  <si>
    <t>Payback Period</t>
  </si>
  <si>
    <t>23/7/2026</t>
  </si>
  <si>
    <t>Outflows-Owner</t>
  </si>
  <si>
    <t>Inflows-Owner</t>
  </si>
  <si>
    <t>Risk Free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</si>
</sst>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_);_(@_)"/>
    <numFmt numFmtId="167" formatCode="_(* #,##0_);_(* \(#,##0\);_(* &quot;-&quot;?_);_(@_)"/>
    <numFmt numFmtId="168" formatCode="_(* #,##0.0_);_(* \(#,##0.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8" tint="0.39997558519241921"/>
      <name val="Calibri"/>
      <family val="2"/>
      <scheme val="minor"/>
    </font>
    <font>
      <b/>
      <sz val="10"/>
      <color theme="1"/>
      <name val="B Nazanin"/>
      <charset val="178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B Nazanin"/>
      <charset val="178"/>
    </font>
    <font>
      <b/>
      <sz val="7"/>
      <color theme="1"/>
      <name val="B Nazanin"/>
      <charset val="178"/>
    </font>
    <font>
      <b/>
      <sz val="7"/>
      <color rgb="FF000000"/>
      <name val="B Nazanin"/>
      <charset val="178"/>
    </font>
    <font>
      <sz val="10"/>
      <color theme="1"/>
      <name val="B Nazanin"/>
      <charset val="178"/>
    </font>
    <font>
      <sz val="8"/>
      <color theme="1"/>
      <name val="B Nazanin"/>
      <charset val="178"/>
    </font>
    <font>
      <sz val="8"/>
      <color rgb="FF000000"/>
      <name val="B Nazanin"/>
      <charset val="178"/>
    </font>
    <font>
      <sz val="11"/>
      <color theme="9"/>
      <name val="Calibri"/>
      <family val="2"/>
      <scheme val="minor"/>
    </font>
    <font>
      <sz val="11"/>
      <color theme="1"/>
      <name val="B Nazanin"/>
      <charset val="178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gray06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5DCF7"/>
        <bgColor indexed="64"/>
      </patternFill>
    </fill>
    <fill>
      <patternFill patternType="solid">
        <fgColor rgb="FF47D459"/>
        <bgColor indexed="64"/>
      </patternFill>
    </fill>
    <fill>
      <patternFill patternType="solid">
        <fgColor rgb="FFB3E5A1"/>
        <bgColor indexed="64"/>
      </patternFill>
    </fill>
    <fill>
      <patternFill patternType="solid">
        <fgColor rgb="FFF1A98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6">
    <xf numFmtId="0" fontId="0" fillId="0" borderId="0" xfId="0"/>
    <xf numFmtId="9" fontId="0" fillId="0" borderId="0" xfId="2" applyFont="1"/>
    <xf numFmtId="3" fontId="0" fillId="0" borderId="0" xfId="0" applyNumberFormat="1" applyAlignment="1">
      <alignment horizontal="right" wrapText="1"/>
    </xf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wrapText="1"/>
    </xf>
    <xf numFmtId="164" fontId="0" fillId="0" borderId="0" xfId="1" applyNumberFormat="1" applyFont="1"/>
    <xf numFmtId="0" fontId="0" fillId="2" borderId="2" xfId="0" applyFill="1" applyBorder="1"/>
    <xf numFmtId="164" fontId="0" fillId="2" borderId="0" xfId="1" applyNumberFormat="1" applyFont="1" applyFill="1" applyBorder="1"/>
    <xf numFmtId="0" fontId="0" fillId="2" borderId="0" xfId="0" applyFill="1"/>
    <xf numFmtId="0" fontId="0" fillId="2" borderId="2" xfId="0" applyFill="1" applyBorder="1" applyAlignment="1">
      <alignment wrapText="1"/>
    </xf>
    <xf numFmtId="0" fontId="0" fillId="3" borderId="5" xfId="0" applyFill="1" applyBorder="1" applyAlignment="1">
      <alignment wrapText="1"/>
    </xf>
    <xf numFmtId="164" fontId="0" fillId="3" borderId="6" xfId="1" applyNumberFormat="1" applyFont="1" applyFill="1" applyBorder="1"/>
    <xf numFmtId="0" fontId="0" fillId="4" borderId="1" xfId="0" applyFill="1" applyBorder="1" applyAlignment="1">
      <alignment horizontal="center" wrapText="1"/>
    </xf>
    <xf numFmtId="164" fontId="0" fillId="0" borderId="0" xfId="1" applyNumberFormat="1" applyFont="1" applyBorder="1"/>
    <xf numFmtId="0" fontId="0" fillId="4" borderId="2" xfId="0" applyFill="1" applyBorder="1"/>
    <xf numFmtId="164" fontId="0" fillId="4" borderId="0" xfId="1" applyNumberFormat="1" applyFont="1" applyFill="1" applyBorder="1"/>
    <xf numFmtId="9" fontId="0" fillId="3" borderId="6" xfId="2" applyFont="1" applyFill="1" applyBorder="1"/>
    <xf numFmtId="0" fontId="0" fillId="3" borderId="2" xfId="0" applyFill="1" applyBorder="1"/>
    <xf numFmtId="164" fontId="0" fillId="3" borderId="0" xfId="1" applyNumberFormat="1" applyFont="1" applyFill="1" applyBorder="1"/>
    <xf numFmtId="0" fontId="0" fillId="4" borderId="3" xfId="0" applyFill="1" applyBorder="1" applyAlignment="1">
      <alignment horizontal="center" wrapText="1"/>
    </xf>
    <xf numFmtId="0" fontId="2" fillId="0" borderId="0" xfId="0" applyFont="1"/>
    <xf numFmtId="43" fontId="0" fillId="0" borderId="0" xfId="0" applyNumberFormat="1"/>
    <xf numFmtId="0" fontId="0" fillId="4" borderId="3" xfId="0" applyFill="1" applyBorder="1"/>
    <xf numFmtId="0" fontId="0" fillId="0" borderId="11" xfId="0" applyBorder="1"/>
    <xf numFmtId="0" fontId="0" fillId="0" borderId="3" xfId="0" applyBorder="1"/>
    <xf numFmtId="0" fontId="0" fillId="0" borderId="12" xfId="0" applyBorder="1"/>
    <xf numFmtId="164" fontId="0" fillId="0" borderId="12" xfId="1" applyNumberFormat="1" applyFont="1" applyBorder="1"/>
    <xf numFmtId="164" fontId="2" fillId="0" borderId="0" xfId="1" applyNumberFormat="1" applyFont="1" applyBorder="1"/>
    <xf numFmtId="0" fontId="5" fillId="0" borderId="11" xfId="3" applyBorder="1"/>
    <xf numFmtId="0" fontId="5" fillId="0" borderId="3" xfId="3" applyBorder="1"/>
    <xf numFmtId="0" fontId="5" fillId="0" borderId="12" xfId="3" applyBorder="1"/>
    <xf numFmtId="0" fontId="5" fillId="4" borderId="4" xfId="3" applyFill="1" applyBorder="1" applyAlignment="1">
      <alignment horizontal="left" vertical="center"/>
    </xf>
    <xf numFmtId="0" fontId="0" fillId="4" borderId="0" xfId="0" applyFill="1"/>
    <xf numFmtId="9" fontId="0" fillId="5" borderId="0" xfId="2" applyFont="1" applyFill="1" applyBorder="1"/>
    <xf numFmtId="164" fontId="0" fillId="5" borderId="6" xfId="2" applyNumberFormat="1" applyFont="1" applyFill="1" applyBorder="1"/>
    <xf numFmtId="3" fontId="0" fillId="5" borderId="8" xfId="0" applyNumberFormat="1" applyFill="1" applyBorder="1" applyAlignment="1">
      <alignment horizontal="right" wrapText="1"/>
    </xf>
    <xf numFmtId="9" fontId="0" fillId="5" borderId="0" xfId="2" applyFont="1" applyFill="1" applyBorder="1" applyAlignment="1">
      <alignment horizontal="right" wrapText="1"/>
    </xf>
    <xf numFmtId="3" fontId="0" fillId="5" borderId="0" xfId="0" applyNumberFormat="1" applyFill="1" applyAlignment="1">
      <alignment horizontal="right" wrapText="1"/>
    </xf>
    <xf numFmtId="164" fontId="0" fillId="5" borderId="0" xfId="1" applyNumberFormat="1" applyFont="1" applyFill="1" applyBorder="1" applyAlignment="1">
      <alignment horizontal="right" wrapText="1"/>
    </xf>
    <xf numFmtId="164" fontId="0" fillId="5" borderId="6" xfId="1" applyNumberFormat="1" applyFont="1" applyFill="1" applyBorder="1" applyAlignment="1">
      <alignment horizontal="right" wrapText="1"/>
    </xf>
    <xf numFmtId="9" fontId="0" fillId="5" borderId="6" xfId="2" applyFont="1" applyFill="1" applyBorder="1" applyAlignment="1">
      <alignment horizontal="right" wrapText="1"/>
    </xf>
    <xf numFmtId="3" fontId="0" fillId="5" borderId="6" xfId="0" applyNumberFormat="1" applyFill="1" applyBorder="1" applyAlignment="1">
      <alignment horizontal="right" wrapText="1"/>
    </xf>
    <xf numFmtId="164" fontId="0" fillId="5" borderId="0" xfId="1" applyNumberFormat="1" applyFont="1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4" xfId="0" applyFill="1" applyBorder="1"/>
    <xf numFmtId="0" fontId="0" fillId="4" borderId="10" xfId="0" applyFill="1" applyBorder="1"/>
    <xf numFmtId="164" fontId="0" fillId="0" borderId="0" xfId="1" applyNumberFormat="1" applyFont="1" applyFill="1" applyBorder="1" applyAlignment="1">
      <alignment horizontal="right" wrapText="1"/>
    </xf>
    <xf numFmtId="9" fontId="0" fillId="5" borderId="13" xfId="2" applyFont="1" applyFill="1" applyBorder="1"/>
    <xf numFmtId="164" fontId="0" fillId="5" borderId="13" xfId="1" applyNumberFormat="1" applyFont="1" applyFill="1" applyBorder="1"/>
    <xf numFmtId="0" fontId="9" fillId="0" borderId="0" xfId="0" applyFont="1"/>
    <xf numFmtId="0" fontId="9" fillId="0" borderId="2" xfId="0" applyFont="1" applyBorder="1"/>
    <xf numFmtId="0" fontId="9" fillId="0" borderId="5" xfId="0" applyFont="1" applyBorder="1"/>
    <xf numFmtId="0" fontId="0" fillId="5" borderId="0" xfId="0" applyFill="1"/>
    <xf numFmtId="164" fontId="10" fillId="7" borderId="0" xfId="0" applyNumberFormat="1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4" fontId="0" fillId="6" borderId="0" xfId="1" applyNumberFormat="1" applyFont="1" applyFill="1" applyBorder="1"/>
    <xf numFmtId="164" fontId="0" fillId="2" borderId="0" xfId="1" applyNumberFormat="1" applyFont="1" applyFill="1"/>
    <xf numFmtId="0" fontId="10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5" borderId="8" xfId="0" applyFill="1" applyBorder="1"/>
    <xf numFmtId="0" fontId="0" fillId="5" borderId="13" xfId="0" applyFill="1" applyBorder="1"/>
    <xf numFmtId="1" fontId="0" fillId="5" borderId="8" xfId="0" applyNumberFormat="1" applyFill="1" applyBorder="1"/>
    <xf numFmtId="0" fontId="0" fillId="5" borderId="3" xfId="0" applyFill="1" applyBorder="1"/>
    <xf numFmtId="164" fontId="0" fillId="5" borderId="9" xfId="1" applyNumberFormat="1" applyFont="1" applyFill="1" applyBorder="1"/>
    <xf numFmtId="0" fontId="0" fillId="5" borderId="12" xfId="0" applyFill="1" applyBorder="1"/>
    <xf numFmtId="0" fontId="0" fillId="5" borderId="6" xfId="0" applyFill="1" applyBorder="1"/>
    <xf numFmtId="0" fontId="0" fillId="6" borderId="12" xfId="0" applyFill="1" applyBorder="1"/>
    <xf numFmtId="164" fontId="0" fillId="6" borderId="13" xfId="1" applyNumberFormat="1" applyFont="1" applyFill="1" applyBorder="1"/>
    <xf numFmtId="9" fontId="0" fillId="0" borderId="0" xfId="2" applyFont="1" applyBorder="1"/>
    <xf numFmtId="0" fontId="10" fillId="6" borderId="8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10" fillId="7" borderId="0" xfId="1" applyNumberFormat="1" applyFont="1" applyFill="1" applyAlignment="1">
      <alignment horizontal="center" vertical="center" wrapText="1"/>
    </xf>
    <xf numFmtId="164" fontId="10" fillId="0" borderId="0" xfId="1" applyNumberFormat="1" applyFont="1" applyBorder="1" applyAlignment="1">
      <alignment horizontal="center" vertical="center" wrapText="1"/>
    </xf>
    <xf numFmtId="164" fontId="6" fillId="0" borderId="0" xfId="1" applyNumberFormat="1" applyFont="1" applyBorder="1" applyAlignment="1">
      <alignment horizontal="center" vertical="center" wrapText="1"/>
    </xf>
    <xf numFmtId="164" fontId="6" fillId="0" borderId="13" xfId="1" applyNumberFormat="1" applyFont="1" applyBorder="1" applyAlignment="1">
      <alignment horizontal="center" vertical="center" wrapText="1"/>
    </xf>
    <xf numFmtId="164" fontId="10" fillId="7" borderId="6" xfId="0" applyNumberFormat="1" applyFont="1" applyFill="1" applyBorder="1" applyAlignment="1">
      <alignment horizontal="center" vertical="center" wrapText="1"/>
    </xf>
    <xf numFmtId="164" fontId="10" fillId="7" borderId="8" xfId="0" applyNumberFormat="1" applyFont="1" applyFill="1" applyBorder="1" applyAlignment="1">
      <alignment horizontal="center" vertical="center" wrapText="1"/>
    </xf>
    <xf numFmtId="164" fontId="10" fillId="0" borderId="6" xfId="1" applyNumberFormat="1" applyFont="1" applyBorder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64" fontId="10" fillId="0" borderId="7" xfId="1" applyNumberFormat="1" applyFont="1" applyBorder="1" applyAlignment="1">
      <alignment horizontal="center" vertical="center" wrapText="1"/>
    </xf>
    <xf numFmtId="164" fontId="10" fillId="0" borderId="2" xfId="1" applyNumberFormat="1" applyFont="1" applyBorder="1" applyAlignment="1">
      <alignment horizontal="center" vertical="center" wrapText="1"/>
    </xf>
    <xf numFmtId="164" fontId="10" fillId="0" borderId="13" xfId="1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10" fillId="0" borderId="13" xfId="0" applyNumberFormat="1" applyFont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164" fontId="6" fillId="6" borderId="5" xfId="0" applyNumberFormat="1" applyFont="1" applyFill="1" applyBorder="1" applyAlignment="1">
      <alignment horizontal="center" vertical="center" wrapText="1"/>
    </xf>
    <xf numFmtId="164" fontId="6" fillId="6" borderId="6" xfId="0" applyNumberFormat="1" applyFont="1" applyFill="1" applyBorder="1" applyAlignment="1">
      <alignment horizontal="center" vertical="center" wrapText="1"/>
    </xf>
    <xf numFmtId="164" fontId="6" fillId="6" borderId="14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10" fillId="0" borderId="8" xfId="1" applyNumberFormat="1" applyFont="1" applyBorder="1" applyAlignment="1">
      <alignment horizontal="center" vertical="center" wrapText="1"/>
    </xf>
    <xf numFmtId="164" fontId="10" fillId="0" borderId="0" xfId="1" applyNumberFormat="1" applyFont="1" applyAlignment="1">
      <alignment horizontal="center" vertical="center" wrapText="1"/>
    </xf>
    <xf numFmtId="164" fontId="10" fillId="6" borderId="6" xfId="1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4" fontId="6" fillId="4" borderId="0" xfId="1" applyNumberFormat="1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 readingOrder="2"/>
    </xf>
    <xf numFmtId="0" fontId="6" fillId="0" borderId="0" xfId="0" applyFont="1"/>
    <xf numFmtId="164" fontId="6" fillId="0" borderId="0" xfId="1" applyNumberFormat="1" applyFont="1"/>
    <xf numFmtId="9" fontId="7" fillId="0" borderId="0" xfId="2" applyFont="1" applyFill="1" applyBorder="1"/>
    <xf numFmtId="0" fontId="0" fillId="4" borderId="9" xfId="0" applyFill="1" applyBorder="1" applyAlignment="1">
      <alignment horizontal="center" vertical="center" wrapText="1"/>
    </xf>
    <xf numFmtId="9" fontId="0" fillId="0" borderId="13" xfId="2" applyFont="1" applyBorder="1"/>
    <xf numFmtId="0" fontId="0" fillId="0" borderId="6" xfId="0" applyBorder="1"/>
    <xf numFmtId="0" fontId="10" fillId="0" borderId="7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164" fontId="0" fillId="0" borderId="0" xfId="0" applyNumberFormat="1"/>
    <xf numFmtId="0" fontId="0" fillId="5" borderId="12" xfId="0" applyFill="1" applyBorder="1" applyAlignment="1">
      <alignment wrapText="1"/>
    </xf>
    <xf numFmtId="9" fontId="6" fillId="0" borderId="0" xfId="0" applyNumberFormat="1" applyFont="1" applyAlignment="1">
      <alignment horizontal="center" vertical="center" wrapText="1"/>
    </xf>
    <xf numFmtId="9" fontId="0" fillId="0" borderId="0" xfId="0" applyNumberFormat="1"/>
    <xf numFmtId="9" fontId="0" fillId="9" borderId="0" xfId="0" applyNumberFormat="1" applyFill="1"/>
    <xf numFmtId="164" fontId="6" fillId="0" borderId="0" xfId="1" applyNumberFormat="1" applyFont="1" applyFill="1" applyAlignment="1">
      <alignment horizontal="center" vertical="center" wrapText="1"/>
    </xf>
    <xf numFmtId="164" fontId="6" fillId="6" borderId="0" xfId="0" applyNumberFormat="1" applyFont="1" applyFill="1" applyAlignment="1">
      <alignment horizontal="center" vertical="center" wrapText="1"/>
    </xf>
    <xf numFmtId="164" fontId="10" fillId="9" borderId="0" xfId="1" applyNumberFormat="1" applyFont="1" applyFill="1" applyBorder="1" applyAlignment="1">
      <alignment horizontal="center" vertical="center" wrapText="1"/>
    </xf>
    <xf numFmtId="164" fontId="10" fillId="0" borderId="9" xfId="1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43" fontId="10" fillId="0" borderId="0" xfId="1" applyFont="1" applyBorder="1" applyAlignment="1">
      <alignment horizontal="center" vertical="center" wrapText="1"/>
    </xf>
    <xf numFmtId="43" fontId="10" fillId="0" borderId="13" xfId="1" applyFont="1" applyBorder="1" applyAlignment="1">
      <alignment horizontal="center" vertical="center" wrapText="1"/>
    </xf>
    <xf numFmtId="164" fontId="10" fillId="0" borderId="6" xfId="0" applyNumberFormat="1" applyFont="1" applyBorder="1" applyAlignment="1">
      <alignment horizontal="center" vertical="center" wrapText="1"/>
    </xf>
    <xf numFmtId="164" fontId="10" fillId="0" borderId="1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 wrapText="1"/>
    </xf>
    <xf numFmtId="164" fontId="10" fillId="0" borderId="9" xfId="0" applyNumberFormat="1" applyFont="1" applyBorder="1" applyAlignment="1">
      <alignment horizontal="center" vertical="center" wrapText="1"/>
    </xf>
    <xf numFmtId="164" fontId="6" fillId="0" borderId="2" xfId="1" applyNumberFormat="1" applyFont="1" applyBorder="1" applyAlignment="1">
      <alignment horizontal="center" vertical="center" wrapText="1"/>
    </xf>
    <xf numFmtId="0" fontId="0" fillId="5" borderId="8" xfId="0" applyFill="1" applyBorder="1" applyAlignment="1">
      <alignment horizontal="right" wrapText="1"/>
    </xf>
    <xf numFmtId="3" fontId="0" fillId="5" borderId="9" xfId="0" applyNumberFormat="1" applyFill="1" applyBorder="1" applyAlignment="1">
      <alignment horizontal="right" wrapText="1"/>
    </xf>
    <xf numFmtId="3" fontId="0" fillId="5" borderId="13" xfId="0" applyNumberFormat="1" applyFill="1" applyBorder="1" applyAlignment="1">
      <alignment horizontal="right" wrapText="1"/>
    </xf>
    <xf numFmtId="9" fontId="0" fillId="5" borderId="13" xfId="2" applyFont="1" applyFill="1" applyBorder="1" applyAlignment="1">
      <alignment horizontal="right" wrapText="1"/>
    </xf>
    <xf numFmtId="3" fontId="0" fillId="5" borderId="14" xfId="0" applyNumberFormat="1" applyFill="1" applyBorder="1" applyAlignment="1">
      <alignment horizontal="right" wrapText="1"/>
    </xf>
    <xf numFmtId="164" fontId="0" fillId="5" borderId="13" xfId="1" applyNumberFormat="1" applyFont="1" applyFill="1" applyBorder="1" applyAlignment="1">
      <alignment horizontal="right" wrapText="1"/>
    </xf>
    <xf numFmtId="9" fontId="0" fillId="5" borderId="14" xfId="2" applyFont="1" applyFill="1" applyBorder="1" applyAlignment="1">
      <alignment horizontal="right" wrapText="1"/>
    </xf>
    <xf numFmtId="0" fontId="13" fillId="6" borderId="10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readingOrder="2"/>
    </xf>
    <xf numFmtId="0" fontId="13" fillId="0" borderId="8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5" fillId="0" borderId="0" xfId="0" applyFont="1"/>
    <xf numFmtId="0" fontId="13" fillId="0" borderId="7" xfId="0" applyFont="1" applyBorder="1" applyAlignment="1">
      <alignment horizontal="center" vertical="center" readingOrder="2"/>
    </xf>
    <xf numFmtId="0" fontId="13" fillId="0" borderId="9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readingOrder="2"/>
    </xf>
    <xf numFmtId="0" fontId="13" fillId="0" borderId="1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 readingOrder="2"/>
    </xf>
    <xf numFmtId="0" fontId="13" fillId="6" borderId="5" xfId="0" applyFont="1" applyFill="1" applyBorder="1" applyAlignment="1">
      <alignment horizontal="center" vertical="center" wrapText="1"/>
    </xf>
    <xf numFmtId="0" fontId="13" fillId="6" borderId="14" xfId="0" applyFont="1" applyFill="1" applyBorder="1" applyAlignment="1">
      <alignment horizontal="center" vertical="center" wrapText="1"/>
    </xf>
    <xf numFmtId="0" fontId="0" fillId="6" borderId="3" xfId="0" applyFill="1" applyBorder="1"/>
    <xf numFmtId="0" fontId="0" fillId="6" borderId="8" xfId="0" applyFill="1" applyBorder="1"/>
    <xf numFmtId="0" fontId="0" fillId="6" borderId="9" xfId="0" applyFill="1" applyBorder="1"/>
    <xf numFmtId="0" fontId="16" fillId="6" borderId="3" xfId="0" applyFont="1" applyFill="1" applyBorder="1" applyAlignment="1">
      <alignment vertical="center" wrapText="1"/>
    </xf>
    <xf numFmtId="1" fontId="0" fillId="0" borderId="8" xfId="0" applyNumberFormat="1" applyBorder="1"/>
    <xf numFmtId="164" fontId="0" fillId="5" borderId="0" xfId="0" applyNumberFormat="1" applyFill="1"/>
    <xf numFmtId="164" fontId="0" fillId="5" borderId="13" xfId="0" applyNumberFormat="1" applyFill="1" applyBorder="1"/>
    <xf numFmtId="0" fontId="16" fillId="6" borderId="12" xfId="0" applyFont="1" applyFill="1" applyBorder="1" applyAlignment="1">
      <alignment vertical="center" wrapText="1"/>
    </xf>
    <xf numFmtId="9" fontId="0" fillId="0" borderId="0" xfId="2" applyFont="1" applyFill="1" applyBorder="1"/>
    <xf numFmtId="0" fontId="0" fillId="0" borderId="13" xfId="0" applyBorder="1"/>
    <xf numFmtId="0" fontId="16" fillId="6" borderId="1" xfId="0" applyFont="1" applyFill="1" applyBorder="1" applyAlignment="1">
      <alignment vertical="center" wrapText="1"/>
    </xf>
    <xf numFmtId="0" fontId="0" fillId="0" borderId="10" xfId="0" applyBorder="1"/>
    <xf numFmtId="9" fontId="0" fillId="0" borderId="10" xfId="0" applyNumberFormat="1" applyBorder="1"/>
    <xf numFmtId="0" fontId="0" fillId="0" borderId="8" xfId="0" applyBorder="1"/>
    <xf numFmtId="9" fontId="0" fillId="0" borderId="8" xfId="0" applyNumberFormat="1" applyBorder="1"/>
    <xf numFmtId="164" fontId="11" fillId="0" borderId="0" xfId="1" applyNumberFormat="1" applyFont="1" applyBorder="1"/>
    <xf numFmtId="164" fontId="0" fillId="5" borderId="6" xfId="0" applyNumberFormat="1" applyFill="1" applyBorder="1"/>
    <xf numFmtId="164" fontId="0" fillId="5" borderId="14" xfId="0" applyNumberFormat="1" applyFill="1" applyBorder="1"/>
    <xf numFmtId="0" fontId="16" fillId="6" borderId="11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4" xfId="0" applyBorder="1"/>
    <xf numFmtId="14" fontId="0" fillId="0" borderId="8" xfId="0" applyNumberFormat="1" applyBorder="1" applyAlignment="1">
      <alignment vertical="center" wrapText="1"/>
    </xf>
    <xf numFmtId="0" fontId="6" fillId="0" borderId="6" xfId="0" applyFont="1" applyBorder="1"/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64" fontId="7" fillId="0" borderId="8" xfId="1" applyNumberFormat="1" applyFont="1" applyFill="1" applyBorder="1"/>
    <xf numFmtId="164" fontId="0" fillId="6" borderId="0" xfId="1" applyNumberFormat="1" applyFont="1" applyFill="1"/>
    <xf numFmtId="0" fontId="13" fillId="6" borderId="4" xfId="0" applyFont="1" applyFill="1" applyBorder="1" applyAlignment="1">
      <alignment horizontal="center" vertical="center" wrapText="1"/>
    </xf>
    <xf numFmtId="164" fontId="10" fillId="6" borderId="14" xfId="1" applyNumberFormat="1" applyFont="1" applyFill="1" applyBorder="1" applyAlignment="1">
      <alignment horizontal="center" vertical="center" wrapText="1"/>
    </xf>
    <xf numFmtId="164" fontId="0" fillId="3" borderId="14" xfId="1" applyNumberFormat="1" applyFont="1" applyFill="1" applyBorder="1"/>
    <xf numFmtId="164" fontId="6" fillId="0" borderId="0" xfId="1" applyNumberFormat="1" applyFont="1" applyAlignment="1">
      <alignment horizontal="center"/>
    </xf>
    <xf numFmtId="164" fontId="6" fillId="0" borderId="0" xfId="1" applyNumberFormat="1" applyFont="1" applyAlignment="1">
      <alignment horizontal="center" vertical="center"/>
    </xf>
    <xf numFmtId="164" fontId="6" fillId="0" borderId="0" xfId="1" applyNumberFormat="1" applyFont="1" applyFill="1" applyAlignment="1">
      <alignment horizontal="center" vertical="center"/>
    </xf>
    <xf numFmtId="164" fontId="10" fillId="10" borderId="0" xfId="1" applyNumberFormat="1" applyFont="1" applyFill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 readingOrder="2"/>
    </xf>
    <xf numFmtId="0" fontId="18" fillId="0" borderId="17" xfId="0" applyFont="1" applyBorder="1" applyAlignment="1">
      <alignment horizontal="center" vertical="center" wrapText="1" readingOrder="2"/>
    </xf>
    <xf numFmtId="0" fontId="19" fillId="11" borderId="16" xfId="0" applyFont="1" applyFill="1" applyBorder="1" applyAlignment="1">
      <alignment horizontal="center" vertical="center" wrapText="1" readingOrder="2"/>
    </xf>
    <xf numFmtId="0" fontId="19" fillId="11" borderId="17" xfId="0" applyFont="1" applyFill="1" applyBorder="1" applyAlignment="1">
      <alignment horizontal="center" vertical="center" wrapText="1" readingOrder="2"/>
    </xf>
    <xf numFmtId="0" fontId="20" fillId="0" borderId="18" xfId="0" applyFont="1" applyBorder="1" applyAlignment="1">
      <alignment horizontal="center" vertical="center" wrapText="1" readingOrder="2"/>
    </xf>
    <xf numFmtId="0" fontId="21" fillId="0" borderId="19" xfId="0" applyFont="1" applyBorder="1" applyAlignment="1">
      <alignment horizontal="center" vertical="center" wrapText="1" readingOrder="2"/>
    </xf>
    <xf numFmtId="0" fontId="21" fillId="0" borderId="18" xfId="0" applyFont="1" applyBorder="1" applyAlignment="1">
      <alignment horizontal="center" vertical="center" wrapText="1" readingOrder="2"/>
    </xf>
    <xf numFmtId="164" fontId="6" fillId="0" borderId="0" xfId="1" applyNumberFormat="1" applyFont="1" applyFill="1" applyAlignment="1">
      <alignment horizontal="center"/>
    </xf>
    <xf numFmtId="164" fontId="0" fillId="0" borderId="0" xfId="1" applyNumberFormat="1" applyFont="1" applyFill="1"/>
    <xf numFmtId="164" fontId="0" fillId="0" borderId="8" xfId="1" applyNumberFormat="1" applyFont="1" applyBorder="1"/>
    <xf numFmtId="9" fontId="0" fillId="5" borderId="0" xfId="0" applyNumberFormat="1" applyFill="1"/>
    <xf numFmtId="1" fontId="0" fillId="5" borderId="9" xfId="0" applyNumberFormat="1" applyFill="1" applyBorder="1"/>
    <xf numFmtId="9" fontId="0" fillId="0" borderId="13" xfId="2" applyFont="1" applyFill="1" applyBorder="1"/>
    <xf numFmtId="9" fontId="11" fillId="0" borderId="0" xfId="0" applyNumberFormat="1" applyFont="1"/>
    <xf numFmtId="9" fontId="11" fillId="0" borderId="13" xfId="0" applyNumberFormat="1" applyFont="1" applyBorder="1"/>
    <xf numFmtId="9" fontId="0" fillId="0" borderId="15" xfId="0" applyNumberFormat="1" applyBorder="1"/>
    <xf numFmtId="9" fontId="0" fillId="0" borderId="9" xfId="0" applyNumberFormat="1" applyBorder="1"/>
    <xf numFmtId="164" fontId="11" fillId="0" borderId="13" xfId="1" applyNumberFormat="1" applyFont="1" applyBorder="1"/>
    <xf numFmtId="164" fontId="0" fillId="0" borderId="13" xfId="0" applyNumberFormat="1" applyBorder="1"/>
    <xf numFmtId="14" fontId="0" fillId="0" borderId="9" xfId="0" applyNumberFormat="1" applyBorder="1" applyAlignment="1">
      <alignment vertical="center" wrapText="1"/>
    </xf>
    <xf numFmtId="9" fontId="0" fillId="0" borderId="14" xfId="2" applyFont="1" applyBorder="1"/>
    <xf numFmtId="164" fontId="0" fillId="0" borderId="9" xfId="0" applyNumberFormat="1" applyBorder="1"/>
    <xf numFmtId="0" fontId="0" fillId="0" borderId="0" xfId="0" applyAlignment="1">
      <alignment horizontal="right" vertical="center"/>
    </xf>
    <xf numFmtId="166" fontId="0" fillId="0" borderId="0" xfId="0" applyNumberFormat="1"/>
    <xf numFmtId="164" fontId="9" fillId="0" borderId="11" xfId="1" applyNumberFormat="1" applyFont="1" applyBorder="1" applyAlignment="1">
      <alignment horizontal="center" vertical="center"/>
    </xf>
    <xf numFmtId="166" fontId="9" fillId="0" borderId="10" xfId="0" applyNumberFormat="1" applyFont="1" applyBorder="1" applyAlignment="1">
      <alignment horizontal="center"/>
    </xf>
    <xf numFmtId="166" fontId="9" fillId="0" borderId="4" xfId="0" applyNumberFormat="1" applyFont="1" applyBorder="1" applyAlignment="1">
      <alignment horizontal="center"/>
    </xf>
    <xf numFmtId="166" fontId="0" fillId="0" borderId="1" xfId="0" applyNumberFormat="1" applyBorder="1"/>
    <xf numFmtId="0" fontId="23" fillId="0" borderId="1" xfId="0" applyFont="1" applyBorder="1" applyAlignment="1">
      <alignment horizontal="center" vertical="center"/>
    </xf>
    <xf numFmtId="164" fontId="23" fillId="0" borderId="1" xfId="1" applyNumberFormat="1" applyFont="1" applyBorder="1" applyAlignment="1">
      <alignment horizontal="center" vertical="center"/>
    </xf>
    <xf numFmtId="167" fontId="0" fillId="0" borderId="1" xfId="0" applyNumberFormat="1" applyBorder="1"/>
    <xf numFmtId="0" fontId="9" fillId="0" borderId="1" xfId="0" applyFont="1" applyBorder="1" applyAlignment="1">
      <alignment horizontal="center" vertical="center"/>
    </xf>
    <xf numFmtId="164" fontId="9" fillId="0" borderId="1" xfId="1" applyNumberFormat="1" applyFont="1" applyBorder="1" applyAlignment="1">
      <alignment horizontal="center" vertical="center"/>
    </xf>
    <xf numFmtId="9" fontId="0" fillId="8" borderId="0" xfId="2" applyFont="1" applyFill="1"/>
    <xf numFmtId="3" fontId="0" fillId="0" borderId="0" xfId="0" applyNumberFormat="1"/>
    <xf numFmtId="1" fontId="0" fillId="0" borderId="0" xfId="0" applyNumberFormat="1"/>
    <xf numFmtId="164" fontId="0" fillId="0" borderId="2" xfId="1" applyNumberFormat="1" applyFont="1" applyBorder="1" applyAlignment="1">
      <alignment wrapText="1"/>
    </xf>
    <xf numFmtId="164" fontId="0" fillId="2" borderId="2" xfId="1" applyNumberFormat="1" applyFont="1" applyFill="1" applyBorder="1" applyAlignment="1">
      <alignment wrapText="1"/>
    </xf>
    <xf numFmtId="164" fontId="0" fillId="5" borderId="0" xfId="1" applyNumberFormat="1" applyFont="1" applyFill="1" applyAlignment="1">
      <alignment horizontal="right" wrapText="1"/>
    </xf>
    <xf numFmtId="164" fontId="10" fillId="0" borderId="5" xfId="1" applyNumberFormat="1" applyFont="1" applyFill="1" applyBorder="1" applyAlignment="1">
      <alignment horizontal="center" vertical="center" wrapText="1"/>
    </xf>
    <xf numFmtId="3" fontId="0" fillId="5" borderId="15" xfId="0" applyNumberFormat="1" applyFill="1" applyBorder="1" applyAlignment="1">
      <alignment horizontal="right" wrapText="1"/>
    </xf>
    <xf numFmtId="164" fontId="0" fillId="0" borderId="0" xfId="1" applyNumberFormat="1" applyFont="1" applyAlignment="1">
      <alignment horizontal="right" wrapText="1"/>
    </xf>
    <xf numFmtId="43" fontId="10" fillId="9" borderId="0" xfId="1" applyFont="1" applyFill="1" applyBorder="1" applyAlignment="1">
      <alignment horizontal="center" vertical="center" wrapText="1"/>
    </xf>
    <xf numFmtId="0" fontId="17" fillId="11" borderId="17" xfId="0" applyFont="1" applyFill="1" applyBorder="1" applyAlignment="1">
      <alignment horizontal="center" vertical="center" wrapText="1" readingOrder="2"/>
    </xf>
    <xf numFmtId="9" fontId="20" fillId="0" borderId="19" xfId="2" applyFont="1" applyBorder="1" applyAlignment="1">
      <alignment horizontal="center" vertical="center" wrapText="1" readingOrder="2"/>
    </xf>
    <xf numFmtId="164" fontId="21" fillId="0" borderId="19" xfId="0" applyNumberFormat="1" applyFont="1" applyBorder="1" applyAlignment="1">
      <alignment horizontal="center" vertical="center" wrapText="1" readingOrder="2"/>
    </xf>
    <xf numFmtId="164" fontId="18" fillId="0" borderId="17" xfId="1" applyNumberFormat="1" applyFont="1" applyBorder="1" applyAlignment="1">
      <alignment horizontal="center" vertical="center" wrapText="1" readingOrder="2"/>
    </xf>
    <xf numFmtId="164" fontId="21" fillId="0" borderId="19" xfId="1" applyNumberFormat="1" applyFont="1" applyBorder="1" applyAlignment="1">
      <alignment horizontal="center" vertical="center" wrapText="1" readingOrder="2"/>
    </xf>
    <xf numFmtId="164" fontId="22" fillId="12" borderId="18" xfId="0" applyNumberFormat="1" applyFont="1" applyFill="1" applyBorder="1" applyAlignment="1">
      <alignment horizontal="center" vertical="center" wrapText="1" readingOrder="2"/>
    </xf>
    <xf numFmtId="164" fontId="22" fillId="12" borderId="19" xfId="0" applyNumberFormat="1" applyFont="1" applyFill="1" applyBorder="1" applyAlignment="1">
      <alignment horizontal="center" vertical="center" wrapText="1" readingOrder="2"/>
    </xf>
    <xf numFmtId="164" fontId="20" fillId="0" borderId="18" xfId="1" applyNumberFormat="1" applyFont="1" applyBorder="1" applyAlignment="1">
      <alignment horizontal="center" vertical="center" wrapText="1" readingOrder="2"/>
    </xf>
    <xf numFmtId="164" fontId="21" fillId="0" borderId="18" xfId="1" applyNumberFormat="1" applyFont="1" applyBorder="1" applyAlignment="1">
      <alignment horizontal="center" vertical="center" wrapText="1" readingOrder="2"/>
    </xf>
    <xf numFmtId="164" fontId="22" fillId="12" borderId="19" xfId="1" applyNumberFormat="1" applyFont="1" applyFill="1" applyBorder="1" applyAlignment="1">
      <alignment horizontal="center" vertical="center" wrapText="1" readingOrder="2"/>
    </xf>
    <xf numFmtId="164" fontId="22" fillId="13" borderId="19" xfId="1" applyNumberFormat="1" applyFont="1" applyFill="1" applyBorder="1" applyAlignment="1">
      <alignment horizontal="center" vertical="center" wrapText="1" readingOrder="2"/>
    </xf>
    <xf numFmtId="164" fontId="22" fillId="14" borderId="19" xfId="1" applyNumberFormat="1" applyFont="1" applyFill="1" applyBorder="1" applyAlignment="1">
      <alignment horizontal="center" vertical="center" wrapText="1" readingOrder="2"/>
    </xf>
    <xf numFmtId="164" fontId="22" fillId="15" borderId="19" xfId="1" applyNumberFormat="1" applyFont="1" applyFill="1" applyBorder="1" applyAlignment="1">
      <alignment horizontal="center" vertical="center" wrapText="1" readingOrder="2"/>
    </xf>
    <xf numFmtId="164" fontId="20" fillId="0" borderId="20" xfId="1" applyNumberFormat="1" applyFont="1" applyBorder="1" applyAlignment="1">
      <alignment horizontal="center" vertical="center" wrapText="1" readingOrder="2"/>
    </xf>
    <xf numFmtId="164" fontId="21" fillId="0" borderId="21" xfId="1" applyNumberFormat="1" applyFont="1" applyBorder="1" applyAlignment="1">
      <alignment horizontal="center" vertical="center" wrapText="1" readingOrder="2"/>
    </xf>
    <xf numFmtId="0" fontId="24" fillId="0" borderId="0" xfId="0" applyFont="1"/>
    <xf numFmtId="164" fontId="24" fillId="0" borderId="0" xfId="0" applyNumberFormat="1" applyFont="1"/>
    <xf numFmtId="0" fontId="0" fillId="5" borderId="9" xfId="0" applyFill="1" applyBorder="1" applyAlignment="1">
      <alignment horizontal="right" wrapText="1"/>
    </xf>
    <xf numFmtId="164" fontId="0" fillId="5" borderId="14" xfId="2" applyNumberFormat="1" applyFont="1" applyFill="1" applyBorder="1"/>
    <xf numFmtId="164" fontId="0" fillId="5" borderId="14" xfId="1" applyNumberFormat="1" applyFont="1" applyFill="1" applyBorder="1" applyAlignment="1">
      <alignment horizontal="right" wrapText="1"/>
    </xf>
    <xf numFmtId="9" fontId="24" fillId="0" borderId="0" xfId="0" applyNumberFormat="1" applyFont="1"/>
    <xf numFmtId="164" fontId="24" fillId="0" borderId="0" xfId="1" applyNumberFormat="1" applyFont="1"/>
    <xf numFmtId="9" fontId="20" fillId="0" borderId="21" xfId="2" applyFont="1" applyBorder="1" applyAlignment="1">
      <alignment horizontal="center" vertical="center" wrapText="1" readingOrder="2"/>
    </xf>
    <xf numFmtId="168" fontId="0" fillId="0" borderId="0" xfId="1" applyNumberFormat="1" applyFont="1" applyAlignment="1">
      <alignment horizontal="right" vertical="center"/>
    </xf>
    <xf numFmtId="9" fontId="0" fillId="0" borderId="4" xfId="0" applyNumberFormat="1" applyBorder="1"/>
    <xf numFmtId="0" fontId="0" fillId="0" borderId="7" xfId="0" applyBorder="1"/>
    <xf numFmtId="0" fontId="0" fillId="6" borderId="4" xfId="0" applyFill="1" applyBorder="1"/>
    <xf numFmtId="0" fontId="16" fillId="0" borderId="0" xfId="0" applyFont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16" fillId="0" borderId="8" xfId="0" applyFont="1" applyBorder="1" applyAlignment="1">
      <alignment vertical="center" wrapText="1"/>
    </xf>
    <xf numFmtId="164" fontId="0" fillId="5" borderId="9" xfId="0" applyNumberFormat="1" applyFill="1" applyBorder="1"/>
    <xf numFmtId="0" fontId="16" fillId="0" borderId="2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14" fontId="0" fillId="5" borderId="14" xfId="0" applyNumberFormat="1" applyFill="1" applyBorder="1"/>
    <xf numFmtId="14" fontId="0" fillId="6" borderId="8" xfId="0" applyNumberFormat="1" applyFill="1" applyBorder="1" applyAlignment="1">
      <alignment horizontal="left" vertical="top"/>
    </xf>
    <xf numFmtId="14" fontId="0" fillId="0" borderId="0" xfId="0" applyNumberFormat="1" applyAlignment="1">
      <alignment horizontal="left" vertical="top"/>
    </xf>
    <xf numFmtId="14" fontId="16" fillId="0" borderId="0" xfId="0" applyNumberFormat="1" applyFont="1" applyAlignment="1">
      <alignment horizontal="left" vertical="top" wrapText="1"/>
    </xf>
    <xf numFmtId="14" fontId="16" fillId="0" borderId="8" xfId="0" applyNumberFormat="1" applyFont="1" applyBorder="1" applyAlignment="1">
      <alignment horizontal="left" vertical="top" wrapText="1"/>
    </xf>
    <xf numFmtId="14" fontId="16" fillId="0" borderId="6" xfId="0" applyNumberFormat="1" applyFont="1" applyBorder="1" applyAlignment="1">
      <alignment horizontal="left" vertical="top" wrapText="1"/>
    </xf>
    <xf numFmtId="14" fontId="0" fillId="0" borderId="0" xfId="1" applyNumberFormat="1" applyFont="1" applyAlignment="1">
      <alignment horizontal="left" vertical="top"/>
    </xf>
    <xf numFmtId="14" fontId="0" fillId="5" borderId="0" xfId="0" applyNumberFormat="1" applyFill="1" applyAlignment="1">
      <alignment horizontal="left" vertical="top"/>
    </xf>
    <xf numFmtId="14" fontId="0" fillId="5" borderId="0" xfId="0" applyNumberFormat="1" applyFill="1"/>
    <xf numFmtId="14" fontId="0" fillId="5" borderId="6" xfId="0" applyNumberFormat="1" applyFill="1" applyBorder="1" applyAlignment="1">
      <alignment horizontal="left" vertical="top"/>
    </xf>
    <xf numFmtId="14" fontId="0" fillId="5" borderId="6" xfId="0" applyNumberFormat="1" applyFill="1" applyBorder="1"/>
    <xf numFmtId="0" fontId="10" fillId="6" borderId="2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" fontId="24" fillId="0" borderId="22" xfId="0" applyNumberFormat="1" applyFont="1" applyBorder="1" applyAlignment="1">
      <alignment horizontal="center"/>
    </xf>
    <xf numFmtId="165" fontId="24" fillId="0" borderId="0" xfId="2" applyNumberFormat="1" applyFont="1" applyAlignment="1">
      <alignment horizontal="center"/>
    </xf>
    <xf numFmtId="9" fontId="24" fillId="0" borderId="0" xfId="2" applyFont="1" applyAlignment="1">
      <alignment horizontal="center"/>
    </xf>
    <xf numFmtId="9" fontId="24" fillId="0" borderId="0" xfId="2" applyFont="1" applyAlignment="1">
      <alignment horizontal="center" vertic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'Single Property P&amp;L-Flourd'!$A$2</c:f>
              <c:strCache>
                <c:ptCount val="1"/>
                <c:pt idx="0">
                  <c:v>Rooms Available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'Single Property P&amp;L-Flourd'!$B$1:$M$1</c:f>
              <c:strCache>
                <c:ptCount val="12"/>
                <c:pt idx="0">
                  <c:v>Farvardin </c:v>
                </c:pt>
                <c:pt idx="1">
                  <c:v>Ordibehesht </c:v>
                </c:pt>
                <c:pt idx="2">
                  <c:v>khordad </c:v>
                </c:pt>
                <c:pt idx="3">
                  <c:v>Tir </c:v>
                </c:pt>
                <c:pt idx="4">
                  <c:v>Mordad </c:v>
                </c:pt>
                <c:pt idx="5">
                  <c:v>Sharivar</c:v>
                </c:pt>
                <c:pt idx="6">
                  <c:v>Mehr</c:v>
                </c:pt>
                <c:pt idx="7">
                  <c:v>Aban</c:v>
                </c:pt>
                <c:pt idx="8">
                  <c:v>Azar</c:v>
                </c:pt>
                <c:pt idx="9">
                  <c:v>Dey</c:v>
                </c:pt>
                <c:pt idx="10">
                  <c:v>Bahman</c:v>
                </c:pt>
                <c:pt idx="11">
                  <c:v>Esfand</c:v>
                </c:pt>
              </c:strCache>
            </c:strRef>
          </c:cat>
          <c:val>
            <c:numRef>
              <c:f>'Single Property P&amp;L-Flourd'!$B$2:$M$2</c:f>
              <c:numCache>
                <c:formatCode>General</c:formatCode>
                <c:ptCount val="12"/>
                <c:pt idx="0">
                  <c:v>1240</c:v>
                </c:pt>
                <c:pt idx="1">
                  <c:v>1240</c:v>
                </c:pt>
                <c:pt idx="2">
                  <c:v>1240</c:v>
                </c:pt>
                <c:pt idx="3">
                  <c:v>1240</c:v>
                </c:pt>
                <c:pt idx="4">
                  <c:v>1240</c:v>
                </c:pt>
                <c:pt idx="5">
                  <c:v>1240</c:v>
                </c:pt>
                <c:pt idx="6">
                  <c:v>1200</c:v>
                </c:pt>
                <c:pt idx="7">
                  <c:v>1200</c:v>
                </c:pt>
                <c:pt idx="8">
                  <c:v>1200</c:v>
                </c:pt>
                <c:pt idx="9">
                  <c:v>1200</c:v>
                </c:pt>
                <c:pt idx="10">
                  <c:v>1200</c:v>
                </c:pt>
                <c:pt idx="11">
                  <c:v>1160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46-448E-9A3C-EFB695F5B108}"/>
            </c:ext>
          </c:extLst>
        </c:ser>
        <c:ser>
          <c:idx val="1"/>
          <c:order val="1"/>
          <c:tx>
            <c:strRef>
              <c:f>'Single Property P&amp;L-Flourd'!$A$3</c:f>
              <c:strCache>
                <c:ptCount val="1"/>
                <c:pt idx="0">
                  <c:v> Rooms Sold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'Single Property P&amp;L-Flourd'!$B$1:$M$1</c:f>
              <c:strCache>
                <c:ptCount val="12"/>
                <c:pt idx="0">
                  <c:v>Farvardin </c:v>
                </c:pt>
                <c:pt idx="1">
                  <c:v>Ordibehesht </c:v>
                </c:pt>
                <c:pt idx="2">
                  <c:v>khordad </c:v>
                </c:pt>
                <c:pt idx="3">
                  <c:v>Tir </c:v>
                </c:pt>
                <c:pt idx="4">
                  <c:v>Mordad </c:v>
                </c:pt>
                <c:pt idx="5">
                  <c:v>Sharivar</c:v>
                </c:pt>
                <c:pt idx="6">
                  <c:v>Mehr</c:v>
                </c:pt>
                <c:pt idx="7">
                  <c:v>Aban</c:v>
                </c:pt>
                <c:pt idx="8">
                  <c:v>Azar</c:v>
                </c:pt>
                <c:pt idx="9">
                  <c:v>Dey</c:v>
                </c:pt>
                <c:pt idx="10">
                  <c:v>Bahman</c:v>
                </c:pt>
                <c:pt idx="11">
                  <c:v>Esfand</c:v>
                </c:pt>
              </c:strCache>
            </c:strRef>
          </c:cat>
          <c:val>
            <c:numRef>
              <c:f>'Single Property P&amp;L-Flourd'!$B$3:$M$3</c:f>
              <c:numCache>
                <c:formatCode>_(* #,##0_);_(* \(#,##0\);_(* "-"??_);_(@_)</c:formatCode>
                <c:ptCount val="12"/>
                <c:pt idx="0">
                  <c:v>1054</c:v>
                </c:pt>
                <c:pt idx="1">
                  <c:v>1178</c:v>
                </c:pt>
                <c:pt idx="2">
                  <c:v>922.85714285714289</c:v>
                </c:pt>
                <c:pt idx="3">
                  <c:v>707.69230769230762</c:v>
                </c:pt>
                <c:pt idx="4">
                  <c:v>707.69230769230762</c:v>
                </c:pt>
                <c:pt idx="5">
                  <c:v>1163.8329238329238</c:v>
                </c:pt>
                <c:pt idx="6">
                  <c:v>803.07692307692298</c:v>
                </c:pt>
                <c:pt idx="7">
                  <c:v>818.32061068702285</c:v>
                </c:pt>
                <c:pt idx="8">
                  <c:v>582.26600985221683</c:v>
                </c:pt>
                <c:pt idx="9">
                  <c:v>639.39393939393949</c:v>
                </c:pt>
                <c:pt idx="10">
                  <c:v>572.66187050359713</c:v>
                </c:pt>
                <c:pt idx="11">
                  <c:v>932.6633165829146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46-448E-9A3C-EFB695F5B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7769503"/>
        <c:axId val="1407766623"/>
      </c:barChart>
      <c:lineChart>
        <c:grouping val="standard"/>
        <c:varyColors val="0"/>
        <c:ser>
          <c:idx val="2"/>
          <c:order val="2"/>
          <c:tx>
            <c:strRef>
              <c:f>'Single Property P&amp;L-Flourd'!$A$4</c:f>
              <c:strCache>
                <c:ptCount val="1"/>
                <c:pt idx="0">
                  <c:v>Occupancy(65% – 75%)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'Single Property P&amp;L-Flourd'!$B$1:$M$1</c:f>
              <c:strCache>
                <c:ptCount val="12"/>
                <c:pt idx="0">
                  <c:v>Farvardin </c:v>
                </c:pt>
                <c:pt idx="1">
                  <c:v>Ordibehesht </c:v>
                </c:pt>
                <c:pt idx="2">
                  <c:v>khordad </c:v>
                </c:pt>
                <c:pt idx="3">
                  <c:v>Tir </c:v>
                </c:pt>
                <c:pt idx="4">
                  <c:v>Mordad </c:v>
                </c:pt>
                <c:pt idx="5">
                  <c:v>Sharivar</c:v>
                </c:pt>
                <c:pt idx="6">
                  <c:v>Mehr</c:v>
                </c:pt>
                <c:pt idx="7">
                  <c:v>Aban</c:v>
                </c:pt>
                <c:pt idx="8">
                  <c:v>Azar</c:v>
                </c:pt>
                <c:pt idx="9">
                  <c:v>Dey</c:v>
                </c:pt>
                <c:pt idx="10">
                  <c:v>Bahman</c:v>
                </c:pt>
                <c:pt idx="11">
                  <c:v>Esfand</c:v>
                </c:pt>
              </c:strCache>
            </c:strRef>
          </c:cat>
          <c:val>
            <c:numRef>
              <c:f>'Single Property P&amp;L-Flourd'!$B$4:$M$4</c:f>
              <c:numCache>
                <c:formatCode>0%</c:formatCode>
                <c:ptCount val="12"/>
                <c:pt idx="0">
                  <c:v>0.85</c:v>
                </c:pt>
                <c:pt idx="1">
                  <c:v>0.95</c:v>
                </c:pt>
                <c:pt idx="2">
                  <c:v>0.74423963133640558</c:v>
                </c:pt>
                <c:pt idx="3">
                  <c:v>0.57071960297766744</c:v>
                </c:pt>
                <c:pt idx="4">
                  <c:v>0.57071960297766744</c:v>
                </c:pt>
                <c:pt idx="5">
                  <c:v>0.93857493857493857</c:v>
                </c:pt>
                <c:pt idx="6">
                  <c:v>0.66923076923076918</c:v>
                </c:pt>
                <c:pt idx="7">
                  <c:v>0.68193384223918574</c:v>
                </c:pt>
                <c:pt idx="8">
                  <c:v>0.48522167487684736</c:v>
                </c:pt>
                <c:pt idx="9">
                  <c:v>0.53282828282828287</c:v>
                </c:pt>
                <c:pt idx="10">
                  <c:v>0.4772182254196643</c:v>
                </c:pt>
                <c:pt idx="11">
                  <c:v>0.8040201005025126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46-448E-9A3C-EFB695F5B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5255695"/>
        <c:axId val="1485255215"/>
      </c:lineChart>
      <c:catAx>
        <c:axId val="1407769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766623"/>
        <c:crosses val="autoZero"/>
        <c:auto val="1"/>
        <c:lblAlgn val="ctr"/>
        <c:lblOffset val="100"/>
        <c:noMultiLvlLbl val="0"/>
      </c:catAx>
      <c:valAx>
        <c:axId val="140776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769503"/>
        <c:crosses val="autoZero"/>
        <c:crossBetween val="between"/>
      </c:valAx>
      <c:valAx>
        <c:axId val="1485255215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55695"/>
        <c:crosses val="max"/>
        <c:crossBetween val="between"/>
      </c:valAx>
      <c:catAx>
        <c:axId val="14852556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8525521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'Single Property P&amp;L-Flourd'!$A$19</c:f>
              <c:strCache>
                <c:ptCount val="1"/>
                <c:pt idx="0">
                  <c:v>ADR (Average Daily Rate)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'Single Property P&amp;L-Flourd'!$B$15:$M$15</c:f>
              <c:strCache>
                <c:ptCount val="12"/>
                <c:pt idx="0">
                  <c:v>Farvardin </c:v>
                </c:pt>
                <c:pt idx="1">
                  <c:v>Ordibehesht </c:v>
                </c:pt>
                <c:pt idx="2">
                  <c:v>khordad </c:v>
                </c:pt>
                <c:pt idx="3">
                  <c:v>Tir </c:v>
                </c:pt>
                <c:pt idx="4">
                  <c:v>Mordad </c:v>
                </c:pt>
                <c:pt idx="5">
                  <c:v>Sharivar</c:v>
                </c:pt>
                <c:pt idx="6">
                  <c:v>Mehr</c:v>
                </c:pt>
                <c:pt idx="7">
                  <c:v>Aban</c:v>
                </c:pt>
                <c:pt idx="8">
                  <c:v>Azar</c:v>
                </c:pt>
                <c:pt idx="9">
                  <c:v>Dey</c:v>
                </c:pt>
                <c:pt idx="10">
                  <c:v>Bahman</c:v>
                </c:pt>
                <c:pt idx="11">
                  <c:v>Esfand</c:v>
                </c:pt>
              </c:strCache>
            </c:strRef>
          </c:cat>
          <c:val>
            <c:numRef>
              <c:f>'Single Property P&amp;L-Flourd'!$B$19:$M$19</c:f>
              <c:numCache>
                <c:formatCode>#,##0</c:formatCode>
                <c:ptCount val="12"/>
                <c:pt idx="0">
                  <c:v>206251075.13020933</c:v>
                </c:pt>
                <c:pt idx="1">
                  <c:v>128575392.40000004</c:v>
                </c:pt>
                <c:pt idx="2">
                  <c:v>228932944.86450389</c:v>
                </c:pt>
                <c:pt idx="3">
                  <c:v>276327749.98803931</c:v>
                </c:pt>
                <c:pt idx="4">
                  <c:v>199036019.35519183</c:v>
                </c:pt>
                <c:pt idx="5">
                  <c:v>200977605.17355719</c:v>
                </c:pt>
                <c:pt idx="6">
                  <c:v>196622446.36706805</c:v>
                </c:pt>
                <c:pt idx="7">
                  <c:v>200910344.65662879</c:v>
                </c:pt>
                <c:pt idx="8">
                  <c:v>202657686.64795926</c:v>
                </c:pt>
                <c:pt idx="9">
                  <c:v>219246037.43817306</c:v>
                </c:pt>
                <c:pt idx="10">
                  <c:v>299965568.28205955</c:v>
                </c:pt>
                <c:pt idx="11">
                  <c:v>281855911.05674738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2-4FAE-AC7C-06A8A3B2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8645631"/>
        <c:axId val="1238644191"/>
      </c:barChart>
      <c:catAx>
        <c:axId val="1238645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644191"/>
        <c:crosses val="autoZero"/>
        <c:auto val="1"/>
        <c:lblAlgn val="ctr"/>
        <c:lblOffset val="100"/>
        <c:noMultiLvlLbl val="0"/>
      </c:catAx>
      <c:valAx>
        <c:axId val="123864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645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331917</xdr:colOff>
      <xdr:row>1</xdr:row>
      <xdr:rowOff>109466</xdr:rowOff>
    </xdr:from>
    <xdr:to>
      <xdr:col>25</xdr:col>
      <xdr:colOff>229347</xdr:colOff>
      <xdr:row>19</xdr:row>
      <xdr:rowOff>11885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781D76-C841-3BC0-82E8-7F9A70CE17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334461</xdr:colOff>
      <xdr:row>19</xdr:row>
      <xdr:rowOff>89845</xdr:rowOff>
    </xdr:from>
    <xdr:to>
      <xdr:col>25</xdr:col>
      <xdr:colOff>265310</xdr:colOff>
      <xdr:row>34</xdr:row>
      <xdr:rowOff>75566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00E4AD1-8CD7-D0C5-88AD-E59B190CED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6CD0E-069E-43D6-8306-803E1812EB0C}">
  <dimension ref="A1:B22"/>
  <sheetViews>
    <sheetView workbookViewId="0">
      <selection activeCell="B7" sqref="B7"/>
    </sheetView>
  </sheetViews>
  <sheetFormatPr defaultRowHeight="14.5" x14ac:dyDescent="0.35"/>
  <cols>
    <col min="1" max="1" width="42.90625" bestFit="1" customWidth="1"/>
    <col min="2" max="2" width="9" bestFit="1" customWidth="1"/>
    <col min="5" max="5" width="14.36328125" customWidth="1"/>
  </cols>
  <sheetData>
    <row r="1" spans="1:2" x14ac:dyDescent="0.35">
      <c r="A1" t="s">
        <v>53</v>
      </c>
      <c r="B1" s="125">
        <v>40</v>
      </c>
    </row>
    <row r="2" spans="1:2" x14ac:dyDescent="0.35">
      <c r="A2" t="s">
        <v>180</v>
      </c>
      <c r="B2" s="125">
        <v>3</v>
      </c>
    </row>
    <row r="4" spans="1:2" x14ac:dyDescent="0.35">
      <c r="A4" t="s">
        <v>80</v>
      </c>
      <c r="B4" s="122">
        <v>0.1</v>
      </c>
    </row>
    <row r="5" spans="1:2" x14ac:dyDescent="0.35">
      <c r="A5" t="s">
        <v>60</v>
      </c>
      <c r="B5" s="125">
        <v>4250000</v>
      </c>
    </row>
    <row r="6" spans="1:2" x14ac:dyDescent="0.35">
      <c r="A6" t="s">
        <v>61</v>
      </c>
      <c r="B6" s="125">
        <v>1050000</v>
      </c>
    </row>
    <row r="7" spans="1:2" x14ac:dyDescent="0.35">
      <c r="A7" t="s">
        <v>62</v>
      </c>
      <c r="B7" s="125">
        <v>1620000</v>
      </c>
    </row>
    <row r="8" spans="1:2" x14ac:dyDescent="0.35">
      <c r="A8" t="s">
        <v>63</v>
      </c>
      <c r="B8" s="125">
        <v>1700000</v>
      </c>
    </row>
    <row r="10" spans="1:2" x14ac:dyDescent="0.35">
      <c r="A10" t="s">
        <v>277</v>
      </c>
      <c r="B10" s="122">
        <v>0.1</v>
      </c>
    </row>
    <row r="11" spans="1:2" x14ac:dyDescent="0.35">
      <c r="A11" t="s">
        <v>183</v>
      </c>
      <c r="B11" s="125">
        <v>200</v>
      </c>
    </row>
    <row r="12" spans="1:2" x14ac:dyDescent="0.35">
      <c r="A12" t="s">
        <v>184</v>
      </c>
      <c r="B12" s="122">
        <v>0.4</v>
      </c>
    </row>
    <row r="13" spans="1:2" x14ac:dyDescent="0.35">
      <c r="A13" t="s">
        <v>211</v>
      </c>
      <c r="B13" s="125">
        <v>8320000</v>
      </c>
    </row>
    <row r="14" spans="1:2" x14ac:dyDescent="0.35">
      <c r="A14" t="s">
        <v>282</v>
      </c>
      <c r="B14" s="125">
        <v>780000</v>
      </c>
    </row>
    <row r="15" spans="1:2" x14ac:dyDescent="0.35">
      <c r="A15" t="s">
        <v>281</v>
      </c>
      <c r="B15" s="122">
        <v>0.4</v>
      </c>
    </row>
    <row r="16" spans="1:2" x14ac:dyDescent="0.35">
      <c r="A16" t="s">
        <v>185</v>
      </c>
      <c r="B16" s="125">
        <v>60000</v>
      </c>
    </row>
    <row r="18" spans="1:2" x14ac:dyDescent="0.35">
      <c r="A18" s="132" t="s">
        <v>113</v>
      </c>
      <c r="B18" s="122">
        <v>0.03</v>
      </c>
    </row>
    <row r="19" spans="1:2" x14ac:dyDescent="0.35">
      <c r="A19" t="s">
        <v>181</v>
      </c>
      <c r="B19" s="236">
        <v>1.65</v>
      </c>
    </row>
    <row r="20" spans="1:2" x14ac:dyDescent="0.35">
      <c r="A20" t="s">
        <v>68</v>
      </c>
      <c r="B20" s="125">
        <v>1200000</v>
      </c>
    </row>
    <row r="21" spans="1:2" x14ac:dyDescent="0.35">
      <c r="A21" t="s">
        <v>69</v>
      </c>
      <c r="B21" s="125">
        <v>800000</v>
      </c>
    </row>
    <row r="22" spans="1:2" x14ac:dyDescent="0.35">
      <c r="A22" t="s">
        <v>284</v>
      </c>
      <c r="B22" s="122">
        <v>0.04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96E79-E75A-42B0-A0E9-7C06622D9E64}">
  <dimension ref="A1:S41"/>
  <sheetViews>
    <sheetView tabSelected="1" topLeftCell="D1" zoomScale="62" zoomScaleNormal="104" workbookViewId="0">
      <pane ySplit="1" topLeftCell="A2" activePane="bottomLeft" state="frozen"/>
      <selection pane="bottomLeft" activeCell="M19" sqref="M19"/>
    </sheetView>
  </sheetViews>
  <sheetFormatPr defaultRowHeight="14.5" x14ac:dyDescent="0.35"/>
  <cols>
    <col min="1" max="1" width="29.54296875" bestFit="1" customWidth="1"/>
    <col min="2" max="2" width="27.81640625" bestFit="1" customWidth="1"/>
    <col min="3" max="3" width="17.6328125" bestFit="1" customWidth="1"/>
    <col min="4" max="4" width="18.453125" bestFit="1" customWidth="1"/>
    <col min="5" max="5" width="18.90625" bestFit="1" customWidth="1"/>
    <col min="6" max="10" width="20.36328125" bestFit="1" customWidth="1"/>
    <col min="11" max="11" width="21.36328125" bestFit="1" customWidth="1"/>
    <col min="13" max="13" width="24" bestFit="1" customWidth="1"/>
    <col min="14" max="14" width="9.6328125" style="273" bestFit="1" customWidth="1"/>
    <col min="15" max="15" width="10.6328125" bestFit="1" customWidth="1"/>
    <col min="16" max="16" width="18.7265625" bestFit="1" customWidth="1"/>
    <col min="17" max="17" width="18.08984375" bestFit="1" customWidth="1"/>
    <col min="18" max="18" width="18.7265625" bestFit="1" customWidth="1"/>
    <col min="19" max="19" width="19.26953125" bestFit="1" customWidth="1"/>
  </cols>
  <sheetData>
    <row r="1" spans="1:19" x14ac:dyDescent="0.35">
      <c r="A1" s="158"/>
      <c r="B1" s="159" t="s">
        <v>187</v>
      </c>
      <c r="C1" s="159" t="s">
        <v>212</v>
      </c>
      <c r="D1" s="159" t="s">
        <v>213</v>
      </c>
      <c r="E1" s="159" t="s">
        <v>214</v>
      </c>
      <c r="F1" s="159" t="s">
        <v>215</v>
      </c>
      <c r="G1" s="159" t="s">
        <v>216</v>
      </c>
      <c r="H1" s="159" t="s">
        <v>217</v>
      </c>
      <c r="I1" s="159" t="s">
        <v>218</v>
      </c>
      <c r="J1" s="160" t="s">
        <v>237</v>
      </c>
      <c r="K1" s="160" t="s">
        <v>44</v>
      </c>
      <c r="M1" s="262"/>
      <c r="N1" s="272" t="s">
        <v>319</v>
      </c>
      <c r="O1" s="159"/>
      <c r="P1" s="159" t="s">
        <v>326</v>
      </c>
      <c r="Q1" s="159" t="s">
        <v>327</v>
      </c>
      <c r="R1" s="159" t="s">
        <v>320</v>
      </c>
      <c r="S1" s="160" t="s">
        <v>321</v>
      </c>
    </row>
    <row r="2" spans="1:19" x14ac:dyDescent="0.35">
      <c r="A2" s="161" t="s">
        <v>0</v>
      </c>
      <c r="B2" s="162"/>
      <c r="C2" s="64"/>
      <c r="D2" s="64"/>
      <c r="E2" s="64">
        <f>'Single Property P&amp;L-Flourd'!E2+'Single Property P&amp;L-Flourd'!F2+'Single Property P&amp;L-Flourd'!G2+'Single Property P&amp;L-Flourd'!H2+'Single Property P&amp;L-Flourd'!I2+'Single Property P&amp;L-Flourd'!J2+'Single Property P&amp;L-Flourd'!K2+'Single Property P&amp;L-Flourd'!L2+'Single Property P&amp;L-Flourd'!M2</f>
        <v>10880</v>
      </c>
      <c r="F2" s="64">
        <f>'Single Property P&amp;L-Flourd'!N2</f>
        <v>14600</v>
      </c>
      <c r="G2" s="64">
        <f>F2</f>
        <v>14600</v>
      </c>
      <c r="H2" s="64">
        <f>G2</f>
        <v>14600</v>
      </c>
      <c r="I2" s="64">
        <f>H2</f>
        <v>14600</v>
      </c>
      <c r="J2" s="205">
        <f>I2</f>
        <v>14600</v>
      </c>
      <c r="K2" s="229">
        <f>SUM(E2:J2)</f>
        <v>83880</v>
      </c>
      <c r="M2" s="263" t="s">
        <v>187</v>
      </c>
      <c r="N2" s="278" t="str">
        <f>B20</f>
        <v>23/7/2026</v>
      </c>
      <c r="O2" s="279" t="str">
        <f>B21</f>
        <v>1405/05/01</v>
      </c>
      <c r="P2" s="163">
        <f>SUM(B16:B18)</f>
        <v>-8213333333.3333321</v>
      </c>
      <c r="Q2" s="163">
        <f>B12</f>
        <v>0</v>
      </c>
      <c r="R2" s="163">
        <f>SUM(P2:Q2)</f>
        <v>-8213333333.3333321</v>
      </c>
      <c r="S2" s="164">
        <f>R2</f>
        <v>-8213333333.3333321</v>
      </c>
    </row>
    <row r="3" spans="1:19" x14ac:dyDescent="0.35">
      <c r="A3" s="165" t="s">
        <v>188</v>
      </c>
      <c r="E3" s="71"/>
      <c r="F3" s="71"/>
      <c r="G3" s="71"/>
      <c r="H3" s="71"/>
      <c r="I3" s="166"/>
      <c r="J3" s="206"/>
      <c r="M3" s="263" t="s">
        <v>212</v>
      </c>
      <c r="N3" s="278">
        <f>C20</f>
        <v>46466</v>
      </c>
      <c r="O3" s="279" t="str">
        <f>C21</f>
        <v>1405/12/29</v>
      </c>
      <c r="P3" s="163">
        <f>SUM(C16:C18)</f>
        <v>-525242666666.66669</v>
      </c>
      <c r="Q3" s="163">
        <f>C12</f>
        <v>0</v>
      </c>
      <c r="R3" s="163">
        <f>SUM(P3:Q3)</f>
        <v>-525242666666.66669</v>
      </c>
      <c r="S3" s="164">
        <f>R3+S2</f>
        <v>-533456000000</v>
      </c>
    </row>
    <row r="4" spans="1:19" x14ac:dyDescent="0.35">
      <c r="A4" s="165" t="s">
        <v>189</v>
      </c>
      <c r="D4" s="121"/>
      <c r="E4" s="112">
        <f>2/3</f>
        <v>0.66666666666666663</v>
      </c>
      <c r="F4" s="112">
        <f>E4</f>
        <v>0.66666666666666663</v>
      </c>
      <c r="G4" s="112">
        <f>F4</f>
        <v>0.66666666666666663</v>
      </c>
      <c r="H4" s="112">
        <f t="shared" ref="H4:J4" si="0">G4</f>
        <v>0.66666666666666663</v>
      </c>
      <c r="I4" s="112">
        <f t="shared" si="0"/>
        <v>0.66666666666666663</v>
      </c>
      <c r="J4" s="206">
        <f t="shared" si="0"/>
        <v>0.66666666666666663</v>
      </c>
      <c r="K4" s="121">
        <f>AVERAGE(E4:J4)</f>
        <v>0.66666666666666663</v>
      </c>
      <c r="M4" s="263" t="s">
        <v>213</v>
      </c>
      <c r="N4" s="278">
        <f>D20</f>
        <v>46831</v>
      </c>
      <c r="O4" s="279" t="str">
        <f>D21</f>
        <v>1406/12/29</v>
      </c>
      <c r="P4" s="163">
        <f>SUM(D16:D18)</f>
        <v>-3031436076750</v>
      </c>
      <c r="Q4" s="163">
        <f>D12</f>
        <v>0</v>
      </c>
      <c r="R4" s="163">
        <f>SUM(P4:Q4)</f>
        <v>-3031436076750</v>
      </c>
      <c r="S4" s="164">
        <f t="shared" ref="S4:S10" si="1">R4+S3</f>
        <v>-3564892076750</v>
      </c>
    </row>
    <row r="5" spans="1:19" x14ac:dyDescent="0.35">
      <c r="A5" s="165" t="s">
        <v>190</v>
      </c>
      <c r="E5" s="207"/>
      <c r="F5" s="207"/>
      <c r="G5" s="207"/>
      <c r="H5" s="207"/>
      <c r="I5" s="207"/>
      <c r="J5" s="208"/>
      <c r="M5" s="263" t="s">
        <v>214</v>
      </c>
      <c r="N5" s="278">
        <f>E20</f>
        <v>47196</v>
      </c>
      <c r="O5" s="279" t="str">
        <f>E21</f>
        <v>1407/12/29</v>
      </c>
      <c r="P5" s="163">
        <f>SUM(E16:E18)</f>
        <v>-227919999999.99997</v>
      </c>
      <c r="Q5" s="163">
        <f>E12</f>
        <v>1257535667096.491</v>
      </c>
      <c r="R5" s="163">
        <f>SUM(P5:Q5)</f>
        <v>1029615667096.491</v>
      </c>
      <c r="S5" s="164">
        <f t="shared" si="1"/>
        <v>-2535276409653.5088</v>
      </c>
    </row>
    <row r="6" spans="1:19" x14ac:dyDescent="0.35">
      <c r="A6" s="168" t="s">
        <v>191</v>
      </c>
      <c r="B6" s="261">
        <v>0.52</v>
      </c>
      <c r="C6" s="169"/>
      <c r="D6" s="170">
        <v>0.3</v>
      </c>
      <c r="E6" s="170">
        <v>0.3</v>
      </c>
      <c r="F6" s="170">
        <v>0.3</v>
      </c>
      <c r="G6" s="170">
        <v>0.3</v>
      </c>
      <c r="H6" s="170">
        <v>0.3</v>
      </c>
      <c r="I6" s="170">
        <v>0.3</v>
      </c>
      <c r="J6" s="209">
        <v>0.3</v>
      </c>
      <c r="K6" s="121">
        <f>AVERAGE(D6:J6)</f>
        <v>0.3</v>
      </c>
      <c r="M6" s="263" t="s">
        <v>215</v>
      </c>
      <c r="N6" s="278">
        <f>F20</f>
        <v>47561</v>
      </c>
      <c r="O6" s="279" t="str">
        <f>F21</f>
        <v>1408/12/29</v>
      </c>
      <c r="P6" s="163">
        <f>SUM(F16:F18)</f>
        <v>-238370257621.23215</v>
      </c>
      <c r="Q6" s="163">
        <f>F12</f>
        <v>2236996455752.2627</v>
      </c>
      <c r="R6" s="163">
        <f t="shared" ref="R6:R10" si="2">SUM(P6:Q6)</f>
        <v>1998626198131.0305</v>
      </c>
      <c r="S6" s="164">
        <f t="shared" si="1"/>
        <v>-536650211522.47827</v>
      </c>
    </row>
    <row r="7" spans="1:19" x14ac:dyDescent="0.35">
      <c r="A7" s="161" t="s">
        <v>210</v>
      </c>
      <c r="B7" s="171"/>
      <c r="C7" s="171"/>
      <c r="D7" s="172"/>
      <c r="E7" s="172">
        <v>1</v>
      </c>
      <c r="F7" s="172">
        <v>1.05</v>
      </c>
      <c r="G7" s="172">
        <f>F7</f>
        <v>1.05</v>
      </c>
      <c r="H7" s="172">
        <f>G7</f>
        <v>1.05</v>
      </c>
      <c r="I7" s="172">
        <f>H7</f>
        <v>1.05</v>
      </c>
      <c r="J7" s="210">
        <f>I7</f>
        <v>1.05</v>
      </c>
      <c r="K7" s="121">
        <f>AVERAGE(D7:J7)</f>
        <v>1.0416666666666665</v>
      </c>
      <c r="M7" s="263" t="s">
        <v>216</v>
      </c>
      <c r="N7" s="278">
        <f>G20</f>
        <v>47927</v>
      </c>
      <c r="O7" s="279" t="str">
        <f>G21</f>
        <v>1409/12/29</v>
      </c>
      <c r="P7" s="163">
        <f>SUM(G16:G18)</f>
        <v>-325375401652.98187</v>
      </c>
      <c r="Q7" s="163">
        <f>G12</f>
        <v>3053500162101.8384</v>
      </c>
      <c r="R7" s="163">
        <f t="shared" si="2"/>
        <v>2728124760448.8564</v>
      </c>
      <c r="S7" s="164">
        <f t="shared" si="1"/>
        <v>2191474548926.3782</v>
      </c>
    </row>
    <row r="8" spans="1:19" x14ac:dyDescent="0.35">
      <c r="A8" s="176" t="s">
        <v>192</v>
      </c>
      <c r="B8" s="68"/>
      <c r="C8" s="68"/>
      <c r="D8" s="174"/>
      <c r="E8" s="174">
        <f>('Single Property P&amp;L-Flourd'!E5+'Single Property P&amp;L-Flourd'!F5+'Single Property P&amp;L-Flourd'!G5+'Single Property P&amp;L-Flourd'!H5+'Single Property P&amp;L-Flourd'!I5+'Single Property P&amp;L-Flourd'!J5+'Single Property P&amp;L-Flourd'!K5+'Single Property P&amp;L-Flourd'!L5+'Single Property P&amp;L-Flourd'!M5)*(1+D6)*(1+E6)</f>
        <v>3330928267003.1411</v>
      </c>
      <c r="F8" s="174">
        <f>'Single Property P&amp;L-Flourd'!N5*(1+D6)*(1+E6)*(1+F6)</f>
        <v>5959256440530.8037</v>
      </c>
      <c r="G8" s="174">
        <f t="shared" ref="G8:J8" si="3">F8*G7*(1+G6)</f>
        <v>8134385041324.5469</v>
      </c>
      <c r="H8" s="174">
        <f t="shared" si="3"/>
        <v>11103435581408.008</v>
      </c>
      <c r="I8" s="174">
        <f t="shared" si="3"/>
        <v>15156189568621.932</v>
      </c>
      <c r="J8" s="175">
        <f t="shared" si="3"/>
        <v>20688198761168.938</v>
      </c>
      <c r="M8" s="263" t="s">
        <v>217</v>
      </c>
      <c r="N8" s="278">
        <f>H20</f>
        <v>48292</v>
      </c>
      <c r="O8" s="279" t="str">
        <f>H21</f>
        <v>1410/12/29</v>
      </c>
      <c r="P8" s="163">
        <f>SUM(H16:H18)</f>
        <v>-444137423256.32031</v>
      </c>
      <c r="Q8" s="163">
        <f>H12</f>
        <v>4168027721269.0098</v>
      </c>
      <c r="R8" s="163">
        <f t="shared" si="2"/>
        <v>3723890298012.6895</v>
      </c>
      <c r="S8" s="164">
        <f t="shared" si="1"/>
        <v>5915364846939.0674</v>
      </c>
    </row>
    <row r="9" spans="1:19" x14ac:dyDescent="0.35">
      <c r="A9" s="165" t="s">
        <v>193</v>
      </c>
      <c r="B9" s="54"/>
      <c r="C9" s="54"/>
      <c r="D9" s="34"/>
      <c r="E9" s="34">
        <f>'Single Property P&amp;L-Flourd'!O12</f>
        <v>0.56629964665731358</v>
      </c>
      <c r="F9" s="34">
        <f>'Single Property P&amp;L-Flourd'!N12</f>
        <v>0.56307271169043915</v>
      </c>
      <c r="G9" s="34">
        <f t="shared" ref="G9:J9" si="4">F9</f>
        <v>0.56307271169043915</v>
      </c>
      <c r="H9" s="34">
        <f t="shared" si="4"/>
        <v>0.56307271169043915</v>
      </c>
      <c r="I9" s="34">
        <f t="shared" si="4"/>
        <v>0.56307271169043915</v>
      </c>
      <c r="J9" s="49">
        <f t="shared" si="4"/>
        <v>0.56307271169043915</v>
      </c>
      <c r="K9" s="121">
        <f>AVERAGE(E9:J9)</f>
        <v>0.56361053418491813</v>
      </c>
      <c r="M9" s="263" t="s">
        <v>218</v>
      </c>
      <c r="N9" s="278">
        <f>I20</f>
        <v>48657</v>
      </c>
      <c r="O9" s="279" t="str">
        <f>I21</f>
        <v>1411/12/29</v>
      </c>
      <c r="P9" s="163">
        <f>SUM(I16:I18)</f>
        <v>-606247582744.87732</v>
      </c>
      <c r="Q9" s="163">
        <f>I12</f>
        <v>5689357839532.1982</v>
      </c>
      <c r="R9" s="163">
        <f t="shared" si="2"/>
        <v>5083110256787.3213</v>
      </c>
      <c r="S9" s="164">
        <f t="shared" si="1"/>
        <v>10998475103726.389</v>
      </c>
    </row>
    <row r="10" spans="1:19" x14ac:dyDescent="0.35">
      <c r="A10" s="165" t="s">
        <v>194</v>
      </c>
      <c r="B10" s="54"/>
      <c r="C10" s="54"/>
      <c r="D10" s="163">
        <f>D8*D9</f>
        <v>0</v>
      </c>
      <c r="E10" s="163">
        <f>E8*E9</f>
        <v>1886303500644.7366</v>
      </c>
      <c r="F10" s="163">
        <f>F8*F9</f>
        <v>3355494683628.394</v>
      </c>
      <c r="G10" s="163">
        <f t="shared" ref="G10:I10" si="5">G8*G9</f>
        <v>4580250243152.7578</v>
      </c>
      <c r="H10" s="163">
        <f t="shared" si="5"/>
        <v>6252041581903.5146</v>
      </c>
      <c r="I10" s="163">
        <f t="shared" si="5"/>
        <v>8534036759298.2979</v>
      </c>
      <c r="J10" s="164">
        <f t="shared" ref="J10" si="6">J8*J9</f>
        <v>11648960176442.178</v>
      </c>
      <c r="K10" s="118">
        <f>SUM(E10:J10)</f>
        <v>36257086945069.875</v>
      </c>
      <c r="M10" s="263" t="s">
        <v>237</v>
      </c>
      <c r="N10" s="280">
        <f>J20</f>
        <v>49022</v>
      </c>
      <c r="O10" s="281" t="str">
        <f>J21</f>
        <v>1412/12/29</v>
      </c>
      <c r="P10" s="174">
        <f>SUM(J16:J18)</f>
        <v>-827527950446.75757</v>
      </c>
      <c r="Q10" s="174">
        <f>J12</f>
        <v>7765973450961.4512</v>
      </c>
      <c r="R10" s="174">
        <f t="shared" si="2"/>
        <v>6938445500514.6934</v>
      </c>
      <c r="S10" s="175">
        <f t="shared" si="1"/>
        <v>17936920604241.082</v>
      </c>
    </row>
    <row r="11" spans="1:19" x14ac:dyDescent="0.35">
      <c r="A11" s="165" t="s">
        <v>195</v>
      </c>
      <c r="E11" s="173"/>
      <c r="F11" s="173"/>
      <c r="G11" s="173"/>
      <c r="H11" s="173"/>
      <c r="I11" s="173"/>
      <c r="J11" s="211"/>
    </row>
    <row r="12" spans="1:19" x14ac:dyDescent="0.35">
      <c r="A12" s="165" t="s">
        <v>241</v>
      </c>
      <c r="B12" s="54"/>
      <c r="C12" s="54"/>
      <c r="D12" s="43">
        <f>IF(D4&gt;0,IF(D9&gt;D5,(D4*D10),(D8*D5*D4)),IF(D3&gt;0,D3*D8,0))+D11</f>
        <v>0</v>
      </c>
      <c r="E12" s="43">
        <f>IF(E4&gt;0,IF(E9&gt;E5,(E4*E10),(E8*E5*E4)),IF(E3&gt;0,E3*E8,0))+E11</f>
        <v>1257535667096.491</v>
      </c>
      <c r="F12" s="43">
        <f t="shared" ref="F12:J12" si="7">IF(F4&gt;0,IF(F9&gt;F5,(F4*F10),(F8*F5*F4)),IF(F3&gt;0,F3*F8,0))+F11</f>
        <v>2236996455752.2627</v>
      </c>
      <c r="G12" s="43">
        <f t="shared" si="7"/>
        <v>3053500162101.8384</v>
      </c>
      <c r="H12" s="43">
        <f t="shared" si="7"/>
        <v>4168027721269.0098</v>
      </c>
      <c r="I12" s="43">
        <f t="shared" si="7"/>
        <v>5689357839532.1982</v>
      </c>
      <c r="J12" s="50">
        <f t="shared" si="7"/>
        <v>7765973450961.4512</v>
      </c>
      <c r="K12" s="118">
        <f>SUM(E12:J12)</f>
        <v>24171391296713.25</v>
      </c>
    </row>
    <row r="13" spans="1:19" x14ac:dyDescent="0.35">
      <c r="A13" s="165" t="s">
        <v>242</v>
      </c>
      <c r="B13" s="54"/>
      <c r="C13" s="54"/>
      <c r="D13" s="163">
        <f>D10-D12</f>
        <v>0</v>
      </c>
      <c r="E13" s="163">
        <f>E10-E12</f>
        <v>628767833548.24561</v>
      </c>
      <c r="F13" s="163">
        <f>F10-F12</f>
        <v>1118498227876.1313</v>
      </c>
      <c r="G13" s="163">
        <f t="shared" ref="G13:I13" si="8">G10-G12</f>
        <v>1526750081050.9194</v>
      </c>
      <c r="H13" s="163">
        <f t="shared" si="8"/>
        <v>2084013860634.5049</v>
      </c>
      <c r="I13" s="163">
        <f t="shared" si="8"/>
        <v>2844678919766.0996</v>
      </c>
      <c r="J13" s="164">
        <f t="shared" ref="J13" si="9">J10-J12</f>
        <v>3882986725480.7266</v>
      </c>
      <c r="K13" s="118">
        <f>SUM(E13:J13)</f>
        <v>12085695648356.627</v>
      </c>
    </row>
    <row r="14" spans="1:19" x14ac:dyDescent="0.35">
      <c r="A14" s="165" t="s">
        <v>197</v>
      </c>
      <c r="D14" s="71"/>
      <c r="E14" s="71">
        <f t="shared" ref="E14:I14" si="10">E12/E10</f>
        <v>0.66666666666666663</v>
      </c>
      <c r="F14" s="71">
        <f t="shared" si="10"/>
        <v>0.66666666666666663</v>
      </c>
      <c r="G14" s="71">
        <f t="shared" si="10"/>
        <v>0.66666666666666663</v>
      </c>
      <c r="H14" s="71">
        <f t="shared" si="10"/>
        <v>0.66666666666666663</v>
      </c>
      <c r="I14" s="71">
        <f t="shared" si="10"/>
        <v>0.66666666666666663</v>
      </c>
      <c r="J14" s="114">
        <f t="shared" ref="J14" si="11">J12/J10</f>
        <v>0.66666666666666663</v>
      </c>
      <c r="K14" s="121">
        <f>J14</f>
        <v>0.66666666666666663</v>
      </c>
      <c r="M14" s="264"/>
      <c r="N14" s="274"/>
      <c r="O14" s="264"/>
      <c r="P14" s="118"/>
    </row>
    <row r="15" spans="1:19" x14ac:dyDescent="0.35">
      <c r="A15" s="165" t="s">
        <v>198</v>
      </c>
      <c r="D15" s="71"/>
      <c r="E15" s="71">
        <f t="shared" ref="E15:I15" si="12">E13/E10</f>
        <v>0.33333333333333337</v>
      </c>
      <c r="F15" s="71">
        <f t="shared" si="12"/>
        <v>0.33333333333333331</v>
      </c>
      <c r="G15" s="71">
        <f t="shared" si="12"/>
        <v>0.33333333333333337</v>
      </c>
      <c r="H15" s="71">
        <f t="shared" si="12"/>
        <v>0.33333333333333331</v>
      </c>
      <c r="I15" s="71">
        <f t="shared" si="12"/>
        <v>0.33333333333333337</v>
      </c>
      <c r="J15" s="214">
        <f t="shared" ref="J15" si="13">J13/J10</f>
        <v>0.33333333333333337</v>
      </c>
      <c r="K15" s="121">
        <f>J15</f>
        <v>0.33333333333333337</v>
      </c>
      <c r="M15" s="265" t="s">
        <v>322</v>
      </c>
      <c r="N15" s="275"/>
      <c r="O15" s="266"/>
      <c r="P15" s="267">
        <f>XNPV(N18,R4:R10,N4:N10)</f>
        <v>3333945504072.1538</v>
      </c>
    </row>
    <row r="16" spans="1:19" ht="26" x14ac:dyDescent="0.35">
      <c r="A16" s="161" t="s">
        <v>239</v>
      </c>
      <c r="B16" s="203">
        <f>-'Constuction CashFlow'!E14 * (1+'Constuction CashFlow'!B18)</f>
        <v>-8213333333.3333321</v>
      </c>
      <c r="C16" s="203">
        <f>-SUM('Constuction CashFlow'!F14:L14) * (1+'Constuction CashFlow'!B18)</f>
        <v>-525242666666.66669</v>
      </c>
      <c r="D16" s="203">
        <f>-SUM('Constuction CashFlow'!M14:X14) * (1+'Constuction CashFlow'!B18)</f>
        <v>-2096864000000</v>
      </c>
      <c r="E16" s="185">
        <f>-SUM('Constuction CashFlow'!Y14:Z14) * (1+'Constuction CashFlow'!B18)</f>
        <v>-227919999999.99997</v>
      </c>
      <c r="F16" s="185">
        <f>F8*3%*-1</f>
        <v>-178777693215.9241</v>
      </c>
      <c r="G16" s="185">
        <f t="shared" ref="G16:J16" si="14">G8*3%*-1</f>
        <v>-244031551239.73639</v>
      </c>
      <c r="H16" s="185">
        <f t="shared" si="14"/>
        <v>-333103067442.24023</v>
      </c>
      <c r="I16" s="185">
        <f t="shared" si="14"/>
        <v>-454685687058.65796</v>
      </c>
      <c r="J16" s="215">
        <f t="shared" si="14"/>
        <v>-620645962835.06812</v>
      </c>
      <c r="K16" s="118">
        <f>SUM(B16:J16)</f>
        <v>-4689483961791.627</v>
      </c>
      <c r="M16" s="268" t="s">
        <v>323</v>
      </c>
      <c r="N16" s="274"/>
      <c r="O16" s="264"/>
      <c r="P16" s="49">
        <f>XIRR(R4:R10,N4:N10)</f>
        <v>0.68330878615379342</v>
      </c>
      <c r="Q16" s="22"/>
    </row>
    <row r="17" spans="1:19" x14ac:dyDescent="0.35">
      <c r="A17" s="165" t="s">
        <v>196</v>
      </c>
      <c r="B17" s="118"/>
      <c r="C17" s="118"/>
      <c r="D17" s="118">
        <f>('Capex '!D12+'Capex '!E12)*-1*(1+D6)</f>
        <v>-777059400000</v>
      </c>
      <c r="E17" s="118"/>
      <c r="F17" s="118">
        <f>F8*1%*-1</f>
        <v>-59592564405.308037</v>
      </c>
      <c r="G17" s="118">
        <f t="shared" ref="G17:J17" si="15">G8*1%*-1</f>
        <v>-81343850413.245468</v>
      </c>
      <c r="H17" s="118">
        <f t="shared" si="15"/>
        <v>-111034355814.08008</v>
      </c>
      <c r="I17" s="118">
        <f t="shared" si="15"/>
        <v>-151561895686.21933</v>
      </c>
      <c r="J17" s="212">
        <f t="shared" si="15"/>
        <v>-206881987611.68939</v>
      </c>
      <c r="K17" s="118">
        <f t="shared" ref="K17:K19" si="16">SUM(B17:J17)</f>
        <v>-1387474053930.5422</v>
      </c>
      <c r="M17" s="269" t="s">
        <v>324</v>
      </c>
      <c r="N17" s="276"/>
      <c r="O17" s="270"/>
      <c r="P17" s="271" cm="1">
        <f t="array" ref="P17">_xlfn.LET(
_xlpm.cum,S2:S10,
_xlpm.cf,R2:R10,
_xlpm.dt,N2:N10,
_xlpm.k,MATCH(TRUE,_xlpm.cum&gt;=0,0),
INDEX(_xlpm.dt,_xlpm.k-1)+ABS(INDEX(_xlpm.cum,_xlpm.k-1))/INDEX(_xlpm.cf,_xlpm.k)*(INDEX(_xlpm.dt,_xlpm.k)-INDEX(_xlpm.dt,_xlpm.k-1))
)</f>
        <v>47632.995965970746</v>
      </c>
    </row>
    <row r="18" spans="1:19" x14ac:dyDescent="0.35">
      <c r="A18" s="165" t="s">
        <v>199</v>
      </c>
      <c r="B18" s="118"/>
      <c r="C18" s="118"/>
      <c r="D18" s="118">
        <f>('Pre Opening'!D9+'Pre Opening'!E9)*-1*(1+D6)</f>
        <v>-157512676750</v>
      </c>
      <c r="E18" s="118"/>
      <c r="F18" s="118"/>
      <c r="G18" s="118"/>
      <c r="H18" s="118"/>
      <c r="I18" s="118"/>
      <c r="J18" s="212"/>
      <c r="K18" s="118">
        <f t="shared" si="16"/>
        <v>-157512676750</v>
      </c>
      <c r="M18" s="264" t="s">
        <v>328</v>
      </c>
      <c r="N18" s="121">
        <v>0.35</v>
      </c>
    </row>
    <row r="19" spans="1:19" x14ac:dyDescent="0.35">
      <c r="A19" s="176" t="s">
        <v>240</v>
      </c>
      <c r="B19" s="118">
        <f>B12+B16+B17+B18</f>
        <v>-8213333333.3333321</v>
      </c>
      <c r="C19" s="118">
        <f>C12+C16+C17+C18+B19</f>
        <v>-533456000000</v>
      </c>
      <c r="D19" s="118">
        <f t="shared" ref="D19:J19" si="17">D12+D16+D17+D18+C19</f>
        <v>-3564892076750</v>
      </c>
      <c r="E19" s="118">
        <f t="shared" si="17"/>
        <v>-2535276409653.5088</v>
      </c>
      <c r="F19" s="118">
        <f t="shared" si="17"/>
        <v>-536650211522.47827</v>
      </c>
      <c r="G19" s="118">
        <f t="shared" si="17"/>
        <v>2191474548926.3782</v>
      </c>
      <c r="H19" s="118">
        <f t="shared" si="17"/>
        <v>5915364846939.0674</v>
      </c>
      <c r="I19" s="118">
        <f t="shared" si="17"/>
        <v>10998475103726.387</v>
      </c>
      <c r="J19" s="212">
        <f t="shared" si="17"/>
        <v>17936920604241.078</v>
      </c>
      <c r="K19" s="118">
        <f t="shared" si="16"/>
        <v>29863747072573.59</v>
      </c>
    </row>
    <row r="20" spans="1:19" x14ac:dyDescent="0.35">
      <c r="A20" s="161" t="s">
        <v>200</v>
      </c>
      <c r="B20" s="179" t="s">
        <v>325</v>
      </c>
      <c r="C20" s="179">
        <v>46466</v>
      </c>
      <c r="D20" s="179">
        <v>46831</v>
      </c>
      <c r="E20" s="179">
        <v>47196</v>
      </c>
      <c r="F20" s="179">
        <v>47561</v>
      </c>
      <c r="G20" s="179">
        <v>47927</v>
      </c>
      <c r="H20" s="179">
        <v>48292</v>
      </c>
      <c r="I20" s="179">
        <v>48657</v>
      </c>
      <c r="J20" s="213">
        <v>49022</v>
      </c>
    </row>
    <row r="21" spans="1:19" x14ac:dyDescent="0.35">
      <c r="A21" s="165" t="s">
        <v>201</v>
      </c>
      <c r="B21" t="s">
        <v>316</v>
      </c>
      <c r="C21" t="s">
        <v>202</v>
      </c>
      <c r="D21" t="s">
        <v>203</v>
      </c>
      <c r="E21" t="s">
        <v>204</v>
      </c>
      <c r="F21" t="s">
        <v>209</v>
      </c>
      <c r="G21" t="s">
        <v>219</v>
      </c>
      <c r="H21" t="s">
        <v>220</v>
      </c>
      <c r="I21" t="s">
        <v>221</v>
      </c>
      <c r="J21" s="167" t="s">
        <v>238</v>
      </c>
    </row>
    <row r="22" spans="1:19" x14ac:dyDescent="0.35">
      <c r="A22" s="176" t="s">
        <v>205</v>
      </c>
      <c r="B22" s="180" t="s">
        <v>206</v>
      </c>
      <c r="C22" s="180" t="s">
        <v>207</v>
      </c>
      <c r="D22" s="180" t="s">
        <v>207</v>
      </c>
      <c r="E22" s="180" t="s">
        <v>207</v>
      </c>
      <c r="F22" s="180" t="s">
        <v>207</v>
      </c>
      <c r="G22" s="180" t="s">
        <v>207</v>
      </c>
      <c r="H22" s="180" t="s">
        <v>207</v>
      </c>
      <c r="I22" s="180" t="s">
        <v>207</v>
      </c>
      <c r="J22" s="178" t="s">
        <v>208</v>
      </c>
      <c r="M22" s="121"/>
    </row>
    <row r="24" spans="1:19" x14ac:dyDescent="0.35">
      <c r="B24" t="s">
        <v>243</v>
      </c>
      <c r="C24" s="6">
        <v>4400</v>
      </c>
    </row>
    <row r="25" spans="1:19" x14ac:dyDescent="0.35">
      <c r="B25" t="s">
        <v>244</v>
      </c>
      <c r="C25" s="6">
        <v>50000000</v>
      </c>
      <c r="H25" s="118"/>
      <c r="I25" s="118"/>
      <c r="J25" s="118"/>
    </row>
    <row r="26" spans="1:19" x14ac:dyDescent="0.35">
      <c r="B26" t="s">
        <v>245</v>
      </c>
      <c r="C26" s="6">
        <f>C25*C24</f>
        <v>220000000000</v>
      </c>
      <c r="H26" s="118"/>
      <c r="I26" s="118"/>
      <c r="J26" s="118"/>
    </row>
    <row r="27" spans="1:19" x14ac:dyDescent="0.35">
      <c r="B27" t="s">
        <v>246</v>
      </c>
      <c r="C27" s="118">
        <f>-SUM(B16:D18)</f>
        <v>3564892076750</v>
      </c>
    </row>
    <row r="28" spans="1:19" s="6" customFormat="1" x14ac:dyDescent="0.35">
      <c r="B28" s="6" t="s">
        <v>247</v>
      </c>
      <c r="C28" s="6">
        <f>C27+C26</f>
        <v>3784892076750</v>
      </c>
      <c r="D28" s="6">
        <f>C28*(1+$C$29)</f>
        <v>4920359699775</v>
      </c>
      <c r="E28" s="6">
        <f t="shared" ref="E28:J28" si="18">D28*(1+$C$29)</f>
        <v>6396467609707.5</v>
      </c>
      <c r="F28" s="6">
        <f t="shared" si="18"/>
        <v>8315407892619.75</v>
      </c>
      <c r="G28" s="6">
        <f t="shared" si="18"/>
        <v>10810030260405.676</v>
      </c>
      <c r="H28" s="6">
        <f t="shared" si="18"/>
        <v>14053039338527.379</v>
      </c>
      <c r="I28" s="6">
        <f t="shared" si="18"/>
        <v>18268951140085.594</v>
      </c>
      <c r="J28" s="6">
        <f t="shared" si="18"/>
        <v>23749636482111.273</v>
      </c>
      <c r="M28"/>
      <c r="N28" s="273"/>
      <c r="O28"/>
      <c r="P28"/>
      <c r="Q28"/>
      <c r="R28"/>
      <c r="S28"/>
    </row>
    <row r="29" spans="1:19" x14ac:dyDescent="0.35">
      <c r="B29" t="s">
        <v>248</v>
      </c>
      <c r="C29" s="121">
        <v>0.3</v>
      </c>
      <c r="M29" s="6"/>
      <c r="N29" s="277"/>
      <c r="O29" s="6"/>
      <c r="P29" s="6"/>
      <c r="Q29" s="6"/>
      <c r="R29" s="6"/>
      <c r="S29" s="6"/>
    </row>
    <row r="30" spans="1:19" x14ac:dyDescent="0.35">
      <c r="B30" t="s">
        <v>249</v>
      </c>
      <c r="C30" s="121">
        <v>0.06</v>
      </c>
      <c r="D30" s="22"/>
      <c r="E30" s="22">
        <f>E28*$C$30*(272/365)</f>
        <v>286000962713.49701</v>
      </c>
      <c r="F30" s="22">
        <f t="shared" ref="F30:G30" si="19">F28*$C$30</f>
        <v>498924473557.185</v>
      </c>
      <c r="G30" s="22">
        <f t="shared" si="19"/>
        <v>648601815624.34058</v>
      </c>
      <c r="H30" s="22">
        <f t="shared" ref="H30:J30" si="20">H28*$C$30</f>
        <v>843182360311.6427</v>
      </c>
      <c r="I30" s="22">
        <f t="shared" si="20"/>
        <v>1096137068405.1356</v>
      </c>
      <c r="J30" s="22">
        <f t="shared" si="20"/>
        <v>1424978188926.6763</v>
      </c>
      <c r="K30" s="22">
        <f>J30+I30+H30</f>
        <v>3364297617643.4546</v>
      </c>
    </row>
    <row r="31" spans="1:19" x14ac:dyDescent="0.35">
      <c r="B31" t="s">
        <v>250</v>
      </c>
      <c r="C31" s="181"/>
      <c r="D31" s="22"/>
      <c r="E31" s="22">
        <f t="shared" ref="E31:J31" si="21">E12</f>
        <v>1257535667096.491</v>
      </c>
      <c r="F31" s="22">
        <f t="shared" si="21"/>
        <v>2236996455752.2627</v>
      </c>
      <c r="G31" s="22">
        <f t="shared" si="21"/>
        <v>3053500162101.8384</v>
      </c>
      <c r="H31" s="22">
        <f t="shared" si="21"/>
        <v>4168027721269.0098</v>
      </c>
      <c r="I31" s="22">
        <f t="shared" si="21"/>
        <v>5689357839532.1982</v>
      </c>
      <c r="J31" s="22">
        <f t="shared" si="21"/>
        <v>7765973450961.4512</v>
      </c>
      <c r="K31" s="22">
        <f>J31+I31+H31</f>
        <v>17623359011762.656</v>
      </c>
    </row>
    <row r="32" spans="1:19" s="216" customFormat="1" ht="33.5" customHeight="1" x14ac:dyDescent="0.35">
      <c r="B32" s="177" t="s">
        <v>251</v>
      </c>
      <c r="D32" s="260"/>
      <c r="E32" s="260">
        <f>E31/E30</f>
        <v>4.3969630562266113</v>
      </c>
      <c r="F32" s="260">
        <f t="shared" ref="F32:K32" si="22">F31/F30</f>
        <v>4.4836374527854579</v>
      </c>
      <c r="G32" s="260">
        <f t="shared" si="22"/>
        <v>4.7078193254247305</v>
      </c>
      <c r="H32" s="260">
        <f t="shared" si="22"/>
        <v>4.9432102916959675</v>
      </c>
      <c r="I32" s="260">
        <f t="shared" si="22"/>
        <v>5.1903708062807654</v>
      </c>
      <c r="J32" s="260">
        <f t="shared" si="22"/>
        <v>5.4498893465948042</v>
      </c>
      <c r="K32" s="260">
        <f t="shared" si="22"/>
        <v>5.2383472019063104</v>
      </c>
      <c r="M32"/>
      <c r="N32" s="273"/>
      <c r="O32"/>
      <c r="P32"/>
      <c r="Q32"/>
      <c r="R32"/>
      <c r="S32"/>
    </row>
    <row r="33" spans="1:19" x14ac:dyDescent="0.35">
      <c r="A33" s="183"/>
      <c r="B33" s="177" t="s">
        <v>317</v>
      </c>
      <c r="C33" s="183"/>
      <c r="D33" s="227"/>
      <c r="E33" s="227">
        <f>E31/E28</f>
        <v>0.19659845774689946</v>
      </c>
      <c r="F33" s="227">
        <f t="shared" ref="F33:G33" si="23">F31/F28</f>
        <v>0.26901824716712752</v>
      </c>
      <c r="G33" s="227">
        <f t="shared" si="23"/>
        <v>0.28246915952548385</v>
      </c>
      <c r="H33" s="227">
        <f>H31/H28</f>
        <v>0.29659261750175803</v>
      </c>
      <c r="I33" s="227">
        <f t="shared" ref="I33:J33" si="24">I31/I28</f>
        <v>0.3114222483768459</v>
      </c>
      <c r="J33" s="227">
        <f t="shared" si="24"/>
        <v>0.32699336079568819</v>
      </c>
      <c r="M33" s="216"/>
      <c r="O33" s="216"/>
      <c r="P33" s="216"/>
      <c r="Q33" s="216"/>
      <c r="R33" s="216"/>
      <c r="S33" s="216"/>
    </row>
    <row r="34" spans="1:19" x14ac:dyDescent="0.35">
      <c r="A34" s="177"/>
      <c r="B34" s="182"/>
      <c r="C34" s="182"/>
    </row>
    <row r="35" spans="1:19" x14ac:dyDescent="0.35">
      <c r="A35" s="177"/>
      <c r="B35" s="182"/>
      <c r="C35" s="182"/>
      <c r="D35" s="182"/>
      <c r="E35" s="184"/>
    </row>
    <row r="36" spans="1:19" x14ac:dyDescent="0.35">
      <c r="A36" s="177"/>
      <c r="B36" s="182"/>
      <c r="C36" s="182"/>
      <c r="D36" s="182"/>
      <c r="E36" s="184"/>
    </row>
    <row r="37" spans="1:19" x14ac:dyDescent="0.35">
      <c r="A37" s="177"/>
      <c r="B37" s="182"/>
      <c r="C37" s="182"/>
      <c r="D37" s="182"/>
      <c r="E37" s="184"/>
    </row>
    <row r="38" spans="1:19" x14ac:dyDescent="0.35">
      <c r="A38" s="177"/>
      <c r="B38" s="182"/>
      <c r="C38" s="182"/>
      <c r="D38" s="182"/>
      <c r="E38" s="184"/>
    </row>
    <row r="39" spans="1:19" x14ac:dyDescent="0.35">
      <c r="A39" s="177"/>
      <c r="B39" s="182"/>
      <c r="C39" s="182"/>
      <c r="D39" s="182"/>
      <c r="E39" s="184"/>
    </row>
    <row r="40" spans="1:19" x14ac:dyDescent="0.35">
      <c r="A40" s="177"/>
      <c r="B40" s="177"/>
      <c r="C40" s="177"/>
      <c r="D40" s="177"/>
      <c r="E40" s="184"/>
    </row>
    <row r="41" spans="1:19" x14ac:dyDescent="0.35">
      <c r="B41" s="177"/>
      <c r="C41" s="177"/>
      <c r="D41" s="177"/>
      <c r="E41" s="184"/>
    </row>
  </sheetData>
  <phoneticPr fontId="8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FDD6B-C74F-4AD2-9788-7ED6B53707DD}">
  <dimension ref="A1:O67"/>
  <sheetViews>
    <sheetView zoomScale="69" zoomScaleNormal="90" workbookViewId="0">
      <pane xSplit="1" ySplit="1" topLeftCell="K2" activePane="bottomRight" state="frozen"/>
      <selection pane="topRight" activeCell="B1" sqref="B1"/>
      <selection pane="bottomLeft" activeCell="A2" sqref="A2"/>
      <selection pane="bottomRight" activeCell="O11" sqref="O11"/>
    </sheetView>
  </sheetViews>
  <sheetFormatPr defaultRowHeight="14.5" x14ac:dyDescent="0.35"/>
  <cols>
    <col min="1" max="1" width="47" customWidth="1"/>
    <col min="2" max="2" width="17.26953125" bestFit="1" customWidth="1"/>
    <col min="3" max="6" width="15.36328125" customWidth="1"/>
    <col min="7" max="7" width="16.90625" customWidth="1"/>
    <col min="8" max="13" width="16.26953125" customWidth="1"/>
    <col min="14" max="14" width="18.36328125" bestFit="1" customWidth="1"/>
    <col min="15" max="15" width="19.6328125" bestFit="1" customWidth="1"/>
  </cols>
  <sheetData>
    <row r="1" spans="1:15" x14ac:dyDescent="0.35">
      <c r="A1" s="23" t="s">
        <v>32</v>
      </c>
      <c r="B1" s="20" t="s">
        <v>170</v>
      </c>
      <c r="C1" s="20" t="s">
        <v>171</v>
      </c>
      <c r="D1" s="20" t="s">
        <v>172</v>
      </c>
      <c r="E1" s="20" t="s">
        <v>173</v>
      </c>
      <c r="F1" s="20" t="s">
        <v>174</v>
      </c>
      <c r="G1" s="13" t="s">
        <v>51</v>
      </c>
      <c r="H1" s="13" t="s">
        <v>45</v>
      </c>
      <c r="I1" s="13" t="s">
        <v>46</v>
      </c>
      <c r="J1" s="13" t="s">
        <v>47</v>
      </c>
      <c r="K1" s="13" t="s">
        <v>48</v>
      </c>
      <c r="L1" s="13" t="s">
        <v>49</v>
      </c>
      <c r="M1" s="13" t="s">
        <v>50</v>
      </c>
      <c r="N1" s="13" t="s">
        <v>44</v>
      </c>
    </row>
    <row r="2" spans="1:15" x14ac:dyDescent="0.35">
      <c r="A2" s="25" t="s">
        <v>0</v>
      </c>
      <c r="B2" s="136">
        <f>Sales!B3</f>
        <v>1240</v>
      </c>
      <c r="C2" s="136">
        <f>Sales!C3</f>
        <v>1240</v>
      </c>
      <c r="D2" s="136">
        <f>Sales!D3</f>
        <v>1240</v>
      </c>
      <c r="E2" s="136">
        <f>Sales!E3</f>
        <v>1240</v>
      </c>
      <c r="F2" s="136">
        <f>Sales!F3</f>
        <v>1240</v>
      </c>
      <c r="G2" s="136">
        <f>Sales!G3</f>
        <v>1240</v>
      </c>
      <c r="H2" s="136">
        <f>Sales!H3</f>
        <v>1200</v>
      </c>
      <c r="I2" s="136">
        <f>Sales!I3</f>
        <v>1200</v>
      </c>
      <c r="J2" s="136">
        <f>Sales!J3</f>
        <v>1200</v>
      </c>
      <c r="K2" s="136">
        <f>Sales!K3</f>
        <v>1200</v>
      </c>
      <c r="L2" s="136">
        <f>Sales!L3</f>
        <v>1200</v>
      </c>
      <c r="M2" s="136">
        <f>Sales!M3</f>
        <v>1160</v>
      </c>
      <c r="N2" s="254">
        <f>SUM(B2:M2)</f>
        <v>14600</v>
      </c>
    </row>
    <row r="3" spans="1:15" s="6" customFormat="1" x14ac:dyDescent="0.35">
      <c r="A3" s="27" t="s">
        <v>1</v>
      </c>
      <c r="B3" s="232">
        <f>B29</f>
        <v>1054</v>
      </c>
      <c r="C3" s="232">
        <f t="shared" ref="C3:N3" si="0">C29</f>
        <v>1178</v>
      </c>
      <c r="D3" s="232">
        <f t="shared" si="0"/>
        <v>922.85714285714289</v>
      </c>
      <c r="E3" s="232">
        <f t="shared" si="0"/>
        <v>707.69230769230762</v>
      </c>
      <c r="F3" s="232">
        <f t="shared" si="0"/>
        <v>707.69230769230762</v>
      </c>
      <c r="G3" s="232">
        <f t="shared" si="0"/>
        <v>1163.8329238329238</v>
      </c>
      <c r="H3" s="232">
        <f t="shared" si="0"/>
        <v>803.07692307692298</v>
      </c>
      <c r="I3" s="232">
        <f t="shared" si="0"/>
        <v>818.32061068702285</v>
      </c>
      <c r="J3" s="232">
        <f t="shared" si="0"/>
        <v>582.26600985221683</v>
      </c>
      <c r="K3" s="232">
        <f t="shared" si="0"/>
        <v>639.39393939393949</v>
      </c>
      <c r="L3" s="232">
        <f t="shared" si="0"/>
        <v>572.66187050359713</v>
      </c>
      <c r="M3" s="232">
        <f t="shared" si="0"/>
        <v>932.6633165829146</v>
      </c>
      <c r="N3" s="141">
        <f t="shared" si="0"/>
        <v>10082.457352171295</v>
      </c>
    </row>
    <row r="4" spans="1:15" x14ac:dyDescent="0.35">
      <c r="A4" s="52" t="s">
        <v>43</v>
      </c>
      <c r="B4" s="34">
        <f t="shared" ref="B4:M4" si="1">B3/B2</f>
        <v>0.85</v>
      </c>
      <c r="C4" s="34">
        <f t="shared" si="1"/>
        <v>0.95</v>
      </c>
      <c r="D4" s="34">
        <f t="shared" si="1"/>
        <v>0.74423963133640558</v>
      </c>
      <c r="E4" s="34">
        <f t="shared" si="1"/>
        <v>0.57071960297766744</v>
      </c>
      <c r="F4" s="34">
        <f t="shared" si="1"/>
        <v>0.57071960297766744</v>
      </c>
      <c r="G4" s="34">
        <f t="shared" si="1"/>
        <v>0.93857493857493857</v>
      </c>
      <c r="H4" s="34">
        <f t="shared" si="1"/>
        <v>0.66923076923076918</v>
      </c>
      <c r="I4" s="34">
        <f t="shared" si="1"/>
        <v>0.68193384223918574</v>
      </c>
      <c r="J4" s="34">
        <f t="shared" si="1"/>
        <v>0.48522167487684736</v>
      </c>
      <c r="K4" s="34">
        <f t="shared" si="1"/>
        <v>0.53282828282828287</v>
      </c>
      <c r="L4" s="34">
        <f t="shared" si="1"/>
        <v>0.4772182254196643</v>
      </c>
      <c r="M4" s="34">
        <f t="shared" si="1"/>
        <v>0.8040201005025126</v>
      </c>
      <c r="N4" s="49">
        <f>N3/N2</f>
        <v>0.69057927069666403</v>
      </c>
    </row>
    <row r="5" spans="1:15" x14ac:dyDescent="0.35">
      <c r="A5" s="29" t="s">
        <v>17</v>
      </c>
      <c r="B5" s="35">
        <f t="shared" ref="B5:D5" si="2">B42</f>
        <v>273656536505.96469</v>
      </c>
      <c r="C5" s="35">
        <f t="shared" si="2"/>
        <v>205199273471.92004</v>
      </c>
      <c r="D5" s="35">
        <f t="shared" si="2"/>
        <v>262632443743.88068</v>
      </c>
      <c r="E5" s="35">
        <f t="shared" ref="E5:F5" si="3">E42</f>
        <v>238294525375.30444</v>
      </c>
      <c r="F5" s="35">
        <f t="shared" si="3"/>
        <v>178125885836.50317</v>
      </c>
      <c r="G5" s="35">
        <f t="shared" ref="G5" si="4">G42</f>
        <v>295421955824.25464</v>
      </c>
      <c r="H5" s="35">
        <f t="shared" ref="H5:I5" si="5">H42</f>
        <v>200002044159.95456</v>
      </c>
      <c r="I5" s="35">
        <f t="shared" si="5"/>
        <v>207658166732.13486</v>
      </c>
      <c r="J5" s="35">
        <f t="shared" ref="J5:N5" si="6">J42</f>
        <v>148875785310.18555</v>
      </c>
      <c r="K5" s="35">
        <f t="shared" si="6"/>
        <v>175149591786.06055</v>
      </c>
      <c r="L5" s="35">
        <f t="shared" si="6"/>
        <v>207717130638.68442</v>
      </c>
      <c r="M5" s="35">
        <f t="shared" si="6"/>
        <v>319718385936.40979</v>
      </c>
      <c r="N5" s="255">
        <f t="shared" si="6"/>
        <v>2712451725321.2573</v>
      </c>
      <c r="O5" s="22">
        <f>SUM(E5:M5)</f>
        <v>1970963471599.4917</v>
      </c>
    </row>
    <row r="6" spans="1:15" x14ac:dyDescent="0.35">
      <c r="A6" s="30" t="s">
        <v>15</v>
      </c>
      <c r="B6" s="36">
        <f t="shared" ref="B6:D6" si="7">B53</f>
        <v>95799964978.08609</v>
      </c>
      <c r="C6" s="36">
        <f t="shared" si="7"/>
        <v>87880861837.080002</v>
      </c>
      <c r="D6" s="36">
        <f t="shared" si="7"/>
        <v>86626324796.243469</v>
      </c>
      <c r="E6" s="36">
        <f t="shared" ref="E6:F6" si="8">E53</f>
        <v>75644911152.576477</v>
      </c>
      <c r="F6" s="36">
        <f t="shared" si="8"/>
        <v>67440096670.012665</v>
      </c>
      <c r="G6" s="36">
        <f t="shared" ref="G6" si="9">G53</f>
        <v>102679426665.3356</v>
      </c>
      <c r="H6" s="36">
        <f t="shared" ref="H6:I6" si="10">H53</f>
        <v>73788515462.371429</v>
      </c>
      <c r="I6" s="36">
        <f t="shared" si="10"/>
        <v>75375401466.248795</v>
      </c>
      <c r="J6" s="36">
        <f t="shared" ref="J6:N6" si="11">J53</f>
        <v>61953074060.435074</v>
      </c>
      <c r="K6" s="36">
        <f t="shared" si="11"/>
        <v>64570347227.02478</v>
      </c>
      <c r="L6" s="36">
        <f t="shared" si="11"/>
        <v>66634864282.645981</v>
      </c>
      <c r="M6" s="36">
        <f t="shared" si="11"/>
        <v>97696796049.345978</v>
      </c>
      <c r="N6" s="137">
        <f t="shared" si="11"/>
        <v>956090584647.40649</v>
      </c>
      <c r="O6" s="22">
        <f t="shared" ref="O6:O11" si="12">SUM(E6:M6)</f>
        <v>685783433035.9967</v>
      </c>
    </row>
    <row r="7" spans="1:15" x14ac:dyDescent="0.35">
      <c r="A7" s="26" t="s">
        <v>31</v>
      </c>
      <c r="B7" s="37">
        <f t="shared" ref="B7:N7" si="13">B6/B10</f>
        <v>0.81514472561707629</v>
      </c>
      <c r="C7" s="37">
        <f t="shared" si="13"/>
        <v>0.83778291105563074</v>
      </c>
      <c r="D7" s="37">
        <f t="shared" si="13"/>
        <v>0.8027304575306019</v>
      </c>
      <c r="E7" s="37">
        <f t="shared" si="13"/>
        <v>0.7895262993679687</v>
      </c>
      <c r="F7" s="37">
        <f t="shared" si="13"/>
        <v>0.80574908074225071</v>
      </c>
      <c r="G7" s="37">
        <f t="shared" si="13"/>
        <v>0.81761385013329779</v>
      </c>
      <c r="H7" s="37">
        <f t="shared" si="13"/>
        <v>0.8085112607114866</v>
      </c>
      <c r="I7" s="37">
        <f t="shared" si="13"/>
        <v>0.80774115662995138</v>
      </c>
      <c r="J7" s="37">
        <f t="shared" si="13"/>
        <v>0.80900792699646751</v>
      </c>
      <c r="K7" s="37">
        <f t="shared" si="13"/>
        <v>0.79932684073556803</v>
      </c>
      <c r="L7" s="37">
        <f t="shared" si="13"/>
        <v>0.78299853834788669</v>
      </c>
      <c r="M7" s="37">
        <f t="shared" si="13"/>
        <v>0.79641264480343876</v>
      </c>
      <c r="N7" s="139">
        <f t="shared" si="13"/>
        <v>0.80672934415062203</v>
      </c>
      <c r="O7" s="22"/>
    </row>
    <row r="8" spans="1:15" x14ac:dyDescent="0.35">
      <c r="A8" s="31" t="s">
        <v>22</v>
      </c>
      <c r="B8" s="38">
        <f t="shared" ref="B8:D8" si="14">B65</f>
        <v>21725134513.374329</v>
      </c>
      <c r="C8" s="38">
        <f t="shared" si="14"/>
        <v>17016075874.800003</v>
      </c>
      <c r="D8" s="38">
        <f t="shared" si="14"/>
        <v>21288260957.394848</v>
      </c>
      <c r="E8" s="38">
        <f t="shared" ref="E8:F8" si="15">E65</f>
        <v>20165590933.461327</v>
      </c>
      <c r="F8" s="38">
        <f t="shared" si="15"/>
        <v>16258536417.95475</v>
      </c>
      <c r="G8" s="38">
        <f t="shared" ref="G8" si="16">G65</f>
        <v>22904828846.720001</v>
      </c>
      <c r="H8" s="38">
        <f t="shared" ref="H8:I8" si="17">H65</f>
        <v>17476157088.308739</v>
      </c>
      <c r="I8" s="38">
        <f t="shared" si="17"/>
        <v>17940880423.768051</v>
      </c>
      <c r="J8" s="38">
        <f t="shared" ref="J8:N8" si="18">J65</f>
        <v>14625995183.599152</v>
      </c>
      <c r="K8" s="38">
        <f t="shared" si="18"/>
        <v>16210559826.72176</v>
      </c>
      <c r="L8" s="38">
        <f t="shared" si="18"/>
        <v>18467292387.077049</v>
      </c>
      <c r="M8" s="38">
        <f t="shared" si="18"/>
        <v>24974279914.620354</v>
      </c>
      <c r="N8" s="138">
        <f t="shared" si="18"/>
        <v>229053592367.80038</v>
      </c>
      <c r="O8" s="22">
        <f t="shared" si="12"/>
        <v>169024121022.2312</v>
      </c>
    </row>
    <row r="9" spans="1:15" x14ac:dyDescent="0.35">
      <c r="A9" s="26" t="s">
        <v>31</v>
      </c>
      <c r="B9" s="37">
        <f t="shared" ref="B9:N9" si="19">B8/B10</f>
        <v>0.18485527438292376</v>
      </c>
      <c r="C9" s="37">
        <f t="shared" si="19"/>
        <v>0.16221708894436929</v>
      </c>
      <c r="D9" s="37">
        <f t="shared" si="19"/>
        <v>0.19726954246939801</v>
      </c>
      <c r="E9" s="37">
        <f t="shared" si="19"/>
        <v>0.21047370063203125</v>
      </c>
      <c r="F9" s="37">
        <f t="shared" si="19"/>
        <v>0.1942509192577494</v>
      </c>
      <c r="G9" s="37">
        <f t="shared" si="19"/>
        <v>0.18238614986670226</v>
      </c>
      <c r="H9" s="37">
        <f t="shared" si="19"/>
        <v>0.19148873928851337</v>
      </c>
      <c r="I9" s="37">
        <f t="shared" si="19"/>
        <v>0.19225884337004859</v>
      </c>
      <c r="J9" s="37">
        <f t="shared" si="19"/>
        <v>0.19099207300353246</v>
      </c>
      <c r="K9" s="37">
        <f t="shared" si="19"/>
        <v>0.20067315926443202</v>
      </c>
      <c r="L9" s="37">
        <f t="shared" si="19"/>
        <v>0.21700146165211343</v>
      </c>
      <c r="M9" s="37">
        <f t="shared" si="19"/>
        <v>0.20358735519656118</v>
      </c>
      <c r="N9" s="139">
        <f t="shared" si="19"/>
        <v>0.19327065584937803</v>
      </c>
      <c r="O9" s="22"/>
    </row>
    <row r="10" spans="1:15" x14ac:dyDescent="0.35">
      <c r="A10" s="24" t="s">
        <v>29</v>
      </c>
      <c r="B10" s="40">
        <f t="shared" ref="B10:N10" si="20">B6+B8</f>
        <v>117525099491.46042</v>
      </c>
      <c r="C10" s="40">
        <f t="shared" si="20"/>
        <v>104896937711.88</v>
      </c>
      <c r="D10" s="40">
        <f t="shared" si="20"/>
        <v>107914585753.63832</v>
      </c>
      <c r="E10" s="40">
        <f t="shared" si="20"/>
        <v>95810502086.037811</v>
      </c>
      <c r="F10" s="40">
        <f t="shared" si="20"/>
        <v>83698633087.967407</v>
      </c>
      <c r="G10" s="40">
        <f t="shared" si="20"/>
        <v>125584255512.0556</v>
      </c>
      <c r="H10" s="40">
        <f t="shared" si="20"/>
        <v>91264672550.680176</v>
      </c>
      <c r="I10" s="40">
        <f t="shared" si="20"/>
        <v>93316281890.016846</v>
      </c>
      <c r="J10" s="40">
        <f t="shared" si="20"/>
        <v>76579069244.034225</v>
      </c>
      <c r="K10" s="40">
        <f t="shared" si="20"/>
        <v>80780907053.746536</v>
      </c>
      <c r="L10" s="40">
        <f t="shared" si="20"/>
        <v>85102156669.723022</v>
      </c>
      <c r="M10" s="40">
        <f t="shared" si="20"/>
        <v>122671075963.96634</v>
      </c>
      <c r="N10" s="256">
        <f t="shared" si="20"/>
        <v>1185144177015.2068</v>
      </c>
      <c r="O10" s="22"/>
    </row>
    <row r="11" spans="1:15" x14ac:dyDescent="0.35">
      <c r="A11" s="25" t="s">
        <v>25</v>
      </c>
      <c r="B11" s="36">
        <f t="shared" ref="B11:N11" si="21">B5-B6-B8</f>
        <v>156131437014.50427</v>
      </c>
      <c r="C11" s="36">
        <f t="shared" si="21"/>
        <v>100302335760.04004</v>
      </c>
      <c r="D11" s="36">
        <f t="shared" si="21"/>
        <v>154717857990.24237</v>
      </c>
      <c r="E11" s="36">
        <f t="shared" si="21"/>
        <v>142484023289.26663</v>
      </c>
      <c r="F11" s="36">
        <f t="shared" si="21"/>
        <v>94427252748.535767</v>
      </c>
      <c r="G11" s="36">
        <f t="shared" si="21"/>
        <v>169837700312.19904</v>
      </c>
      <c r="H11" s="36">
        <f t="shared" si="21"/>
        <v>108737371609.27438</v>
      </c>
      <c r="I11" s="36">
        <f t="shared" si="21"/>
        <v>114341884842.11801</v>
      </c>
      <c r="J11" s="36">
        <f t="shared" si="21"/>
        <v>72296716066.151321</v>
      </c>
      <c r="K11" s="36">
        <f t="shared" si="21"/>
        <v>94368684732.314011</v>
      </c>
      <c r="L11" s="36">
        <f t="shared" si="21"/>
        <v>122614973968.9614</v>
      </c>
      <c r="M11" s="36">
        <f t="shared" si="21"/>
        <v>197047309972.44345</v>
      </c>
      <c r="N11" s="137">
        <f t="shared" si="21"/>
        <v>1527307548306.0505</v>
      </c>
      <c r="O11" s="22">
        <f t="shared" si="12"/>
        <v>1116155917541.2642</v>
      </c>
    </row>
    <row r="12" spans="1:15" x14ac:dyDescent="0.35">
      <c r="A12" s="53" t="s">
        <v>39</v>
      </c>
      <c r="B12" s="41">
        <f t="shared" ref="B12:N12" si="22">B11/B5</f>
        <v>0.57053794149404935</v>
      </c>
      <c r="C12" s="41">
        <f t="shared" si="22"/>
        <v>0.48880453650224864</v>
      </c>
      <c r="D12" s="41">
        <f t="shared" si="22"/>
        <v>0.58910413269856077</v>
      </c>
      <c r="E12" s="41">
        <f t="shared" si="22"/>
        <v>0.59793242444349037</v>
      </c>
      <c r="F12" s="41">
        <f t="shared" si="22"/>
        <v>0.53011527384182633</v>
      </c>
      <c r="G12" s="41">
        <f t="shared" si="22"/>
        <v>0.57489870662570119</v>
      </c>
      <c r="H12" s="41">
        <f t="shared" si="22"/>
        <v>0.54368130118865221</v>
      </c>
      <c r="I12" s="41">
        <f t="shared" si="22"/>
        <v>0.55062551423566886</v>
      </c>
      <c r="J12" s="41">
        <f t="shared" si="22"/>
        <v>0.48561769743494371</v>
      </c>
      <c r="K12" s="41">
        <f t="shared" si="22"/>
        <v>0.53878906465041754</v>
      </c>
      <c r="L12" s="41">
        <f t="shared" si="22"/>
        <v>0.59029784203135949</v>
      </c>
      <c r="M12" s="41">
        <f t="shared" si="22"/>
        <v>0.61631522815092366</v>
      </c>
      <c r="N12" s="142">
        <f t="shared" si="22"/>
        <v>0.56307271169043915</v>
      </c>
      <c r="O12" s="37">
        <f>O11/O5</f>
        <v>0.56629964665731358</v>
      </c>
    </row>
    <row r="13" spans="1:15" s="21" customFormat="1" x14ac:dyDescent="0.35">
      <c r="A13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5" s="21" customFormat="1" x14ac:dyDescent="0.35">
      <c r="A1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5" x14ac:dyDescent="0.35">
      <c r="A15" s="23"/>
      <c r="B15" s="20" t="s">
        <v>170</v>
      </c>
      <c r="C15" s="20" t="s">
        <v>171</v>
      </c>
      <c r="D15" s="20" t="s">
        <v>172</v>
      </c>
      <c r="E15" s="20" t="s">
        <v>173</v>
      </c>
      <c r="F15" s="20" t="s">
        <v>174</v>
      </c>
      <c r="G15" s="13" t="s">
        <v>51</v>
      </c>
      <c r="H15" s="13" t="s">
        <v>45</v>
      </c>
      <c r="I15" s="13" t="s">
        <v>46</v>
      </c>
      <c r="J15" s="13" t="s">
        <v>47</v>
      </c>
      <c r="K15" s="13" t="s">
        <v>48</v>
      </c>
      <c r="L15" s="13" t="s">
        <v>49</v>
      </c>
      <c r="M15" s="13" t="s">
        <v>50</v>
      </c>
      <c r="N15" s="13" t="s">
        <v>44</v>
      </c>
    </row>
    <row r="16" spans="1:15" s="21" customFormat="1" x14ac:dyDescent="0.35">
      <c r="A16" s="25" t="s">
        <v>0</v>
      </c>
      <c r="B16" s="36">
        <f t="shared" ref="B16:N16" si="23">B2</f>
        <v>1240</v>
      </c>
      <c r="C16" s="36">
        <f t="shared" si="23"/>
        <v>1240</v>
      </c>
      <c r="D16" s="36">
        <f t="shared" si="23"/>
        <v>1240</v>
      </c>
      <c r="E16" s="36">
        <f t="shared" si="23"/>
        <v>1240</v>
      </c>
      <c r="F16" s="36">
        <f t="shared" si="23"/>
        <v>1240</v>
      </c>
      <c r="G16" s="36">
        <f t="shared" si="23"/>
        <v>1240</v>
      </c>
      <c r="H16" s="36">
        <f t="shared" si="23"/>
        <v>1200</v>
      </c>
      <c r="I16" s="36">
        <f t="shared" si="23"/>
        <v>1200</v>
      </c>
      <c r="J16" s="36">
        <f t="shared" si="23"/>
        <v>1200</v>
      </c>
      <c r="K16" s="36">
        <f t="shared" si="23"/>
        <v>1200</v>
      </c>
      <c r="L16" s="36">
        <f t="shared" si="23"/>
        <v>1200</v>
      </c>
      <c r="M16" s="36">
        <f t="shared" si="23"/>
        <v>1160</v>
      </c>
      <c r="N16" s="137">
        <f t="shared" si="23"/>
        <v>14600</v>
      </c>
    </row>
    <row r="17" spans="1:14" s="21" customFormat="1" x14ac:dyDescent="0.35">
      <c r="A17" s="26" t="s">
        <v>1</v>
      </c>
      <c r="B17" s="38">
        <f t="shared" ref="B17:N17" si="24">B3</f>
        <v>1054</v>
      </c>
      <c r="C17" s="38">
        <f t="shared" si="24"/>
        <v>1178</v>
      </c>
      <c r="D17" s="38">
        <f t="shared" si="24"/>
        <v>922.85714285714289</v>
      </c>
      <c r="E17" s="38">
        <f t="shared" si="24"/>
        <v>707.69230769230762</v>
      </c>
      <c r="F17" s="38">
        <f t="shared" si="24"/>
        <v>707.69230769230762</v>
      </c>
      <c r="G17" s="38">
        <f t="shared" si="24"/>
        <v>1163.8329238329238</v>
      </c>
      <c r="H17" s="38">
        <f t="shared" si="24"/>
        <v>803.07692307692298</v>
      </c>
      <c r="I17" s="38">
        <f t="shared" si="24"/>
        <v>818.32061068702285</v>
      </c>
      <c r="J17" s="38">
        <f t="shared" si="24"/>
        <v>582.26600985221683</v>
      </c>
      <c r="K17" s="38">
        <f t="shared" si="24"/>
        <v>639.39393939393949</v>
      </c>
      <c r="L17" s="38">
        <f t="shared" si="24"/>
        <v>572.66187050359713</v>
      </c>
      <c r="M17" s="38">
        <f t="shared" si="24"/>
        <v>932.6633165829146</v>
      </c>
      <c r="N17" s="138">
        <f t="shared" si="24"/>
        <v>10082.457352171295</v>
      </c>
    </row>
    <row r="18" spans="1:14" s="21" customFormat="1" x14ac:dyDescent="0.35">
      <c r="A18" s="26" t="s">
        <v>2</v>
      </c>
      <c r="B18" s="37">
        <f t="shared" ref="B18:N18" si="25">B4</f>
        <v>0.85</v>
      </c>
      <c r="C18" s="37">
        <f t="shared" si="25"/>
        <v>0.95</v>
      </c>
      <c r="D18" s="37">
        <f t="shared" si="25"/>
        <v>0.74423963133640558</v>
      </c>
      <c r="E18" s="37">
        <f t="shared" si="25"/>
        <v>0.57071960297766744</v>
      </c>
      <c r="F18" s="37">
        <f t="shared" si="25"/>
        <v>0.57071960297766744</v>
      </c>
      <c r="G18" s="37">
        <f t="shared" si="25"/>
        <v>0.93857493857493857</v>
      </c>
      <c r="H18" s="37">
        <f t="shared" si="25"/>
        <v>0.66923076923076918</v>
      </c>
      <c r="I18" s="37">
        <f t="shared" si="25"/>
        <v>0.68193384223918574</v>
      </c>
      <c r="J18" s="37">
        <f t="shared" si="25"/>
        <v>0.48522167487684736</v>
      </c>
      <c r="K18" s="37">
        <f t="shared" si="25"/>
        <v>0.53282828282828287</v>
      </c>
      <c r="L18" s="37">
        <f t="shared" si="25"/>
        <v>0.4772182254196643</v>
      </c>
      <c r="M18" s="37">
        <f t="shared" si="25"/>
        <v>0.8040201005025126</v>
      </c>
      <c r="N18" s="139">
        <f t="shared" si="25"/>
        <v>0.69057927069666403</v>
      </c>
    </row>
    <row r="19" spans="1:14" s="21" customFormat="1" x14ac:dyDescent="0.35">
      <c r="A19" s="26" t="s">
        <v>169</v>
      </c>
      <c r="B19" s="38">
        <f t="shared" ref="B19:D19" si="26">B32/B29</f>
        <v>206251075.13020933</v>
      </c>
      <c r="C19" s="38">
        <f t="shared" si="26"/>
        <v>128575392.40000004</v>
      </c>
      <c r="D19" s="38">
        <f t="shared" si="26"/>
        <v>228932944.86450389</v>
      </c>
      <c r="E19" s="38">
        <f t="shared" ref="E19" si="27">E32/E29</f>
        <v>276327749.98803931</v>
      </c>
      <c r="F19" s="38">
        <f>F32/F29</f>
        <v>199036019.35519183</v>
      </c>
      <c r="G19" s="38">
        <f t="shared" ref="G19" si="28">G32/G29</f>
        <v>200977605.17355719</v>
      </c>
      <c r="H19" s="38">
        <f t="shared" ref="H19:I19" si="29">H32/H29</f>
        <v>196622446.36706805</v>
      </c>
      <c r="I19" s="38">
        <f t="shared" si="29"/>
        <v>200910344.65662879</v>
      </c>
      <c r="J19" s="38">
        <f t="shared" ref="J19:N19" si="30">J32/J29</f>
        <v>202657686.64795926</v>
      </c>
      <c r="K19" s="38">
        <f t="shared" si="30"/>
        <v>219246037.43817306</v>
      </c>
      <c r="L19" s="38">
        <f t="shared" si="30"/>
        <v>299965568.28205955</v>
      </c>
      <c r="M19" s="38">
        <f t="shared" si="30"/>
        <v>281855911.05674738</v>
      </c>
      <c r="N19" s="138">
        <f t="shared" si="30"/>
        <v>214788043.97648525</v>
      </c>
    </row>
    <row r="20" spans="1:14" s="21" customFormat="1" x14ac:dyDescent="0.35">
      <c r="A20" s="24" t="s">
        <v>34</v>
      </c>
      <c r="B20" s="42">
        <f t="shared" ref="B20:N20" si="31">B5/B16</f>
        <v>220690755.24674571</v>
      </c>
      <c r="C20" s="42">
        <f t="shared" si="31"/>
        <v>165483285.05800003</v>
      </c>
      <c r="D20" s="42">
        <f t="shared" si="31"/>
        <v>211800357.8579683</v>
      </c>
      <c r="E20" s="42">
        <f t="shared" si="31"/>
        <v>192173004.33492294</v>
      </c>
      <c r="F20" s="42">
        <f t="shared" si="31"/>
        <v>143649907.93266386</v>
      </c>
      <c r="G20" s="42">
        <f t="shared" si="31"/>
        <v>238243512.76149568</v>
      </c>
      <c r="H20" s="42">
        <f t="shared" si="31"/>
        <v>166668370.13329548</v>
      </c>
      <c r="I20" s="42">
        <f t="shared" si="31"/>
        <v>173048472.27677906</v>
      </c>
      <c r="J20" s="42">
        <f t="shared" si="31"/>
        <v>124063154.42515463</v>
      </c>
      <c r="K20" s="42">
        <f t="shared" si="31"/>
        <v>145957993.15505046</v>
      </c>
      <c r="L20" s="42">
        <f t="shared" si="31"/>
        <v>173097608.86557034</v>
      </c>
      <c r="M20" s="42">
        <f t="shared" si="31"/>
        <v>275619298.22104293</v>
      </c>
      <c r="N20" s="140">
        <f t="shared" si="31"/>
        <v>185784364.74803132</v>
      </c>
    </row>
    <row r="21" spans="1:14" s="21" customFormat="1" x14ac:dyDescent="0.35">
      <c r="A21" s="3" t="s">
        <v>36</v>
      </c>
      <c r="B21" s="38">
        <f>B47/B3</f>
        <v>56742413.015867233</v>
      </c>
      <c r="C21" s="38">
        <f t="shared" ref="C21:M21" si="32">C47/C3</f>
        <v>45348439.070220716</v>
      </c>
      <c r="D21" s="38">
        <f t="shared" si="32"/>
        <v>57217443.093261532</v>
      </c>
      <c r="E21" s="38">
        <f t="shared" si="32"/>
        <v>64530340.216195233</v>
      </c>
      <c r="F21" s="38">
        <f t="shared" si="32"/>
        <v>56801167.152910486</v>
      </c>
      <c r="G21" s="38">
        <f t="shared" si="32"/>
        <v>55247066.377852261</v>
      </c>
      <c r="H21" s="38">
        <f t="shared" si="32"/>
        <v>55224428.544752784</v>
      </c>
      <c r="I21" s="38">
        <f t="shared" si="32"/>
        <v>55472485.958200194</v>
      </c>
      <c r="J21" s="38">
        <f t="shared" si="32"/>
        <v>64659565.619110644</v>
      </c>
      <c r="K21" s="38">
        <f t="shared" si="32"/>
        <v>59970518.435760424</v>
      </c>
      <c r="L21" s="38">
        <f t="shared" si="32"/>
        <v>69462491.501572788</v>
      </c>
      <c r="M21" s="38">
        <f t="shared" si="32"/>
        <v>65595310.933260947</v>
      </c>
      <c r="N21" s="234">
        <f>N47/N3</f>
        <v>57812163.848780677</v>
      </c>
    </row>
    <row r="22" spans="1:14" s="21" customFormat="1" x14ac:dyDescent="0.35">
      <c r="A22" s="25" t="s">
        <v>35</v>
      </c>
      <c r="B22" s="36">
        <f t="shared" ref="B22:N22" si="33">B10/B16</f>
        <v>94778306.041500345</v>
      </c>
      <c r="C22" s="36">
        <f t="shared" si="33"/>
        <v>84594304.606354848</v>
      </c>
      <c r="D22" s="36">
        <f t="shared" si="33"/>
        <v>87027891.736805096</v>
      </c>
      <c r="E22" s="36">
        <f t="shared" si="33"/>
        <v>77266533.940353081</v>
      </c>
      <c r="F22" s="36">
        <f t="shared" si="33"/>
        <v>67498897.651586622</v>
      </c>
      <c r="G22" s="36">
        <f t="shared" si="33"/>
        <v>101277625.41294807</v>
      </c>
      <c r="H22" s="36">
        <f t="shared" si="33"/>
        <v>76053893.792233482</v>
      </c>
      <c r="I22" s="36">
        <f t="shared" si="33"/>
        <v>77763568.241680712</v>
      </c>
      <c r="J22" s="36">
        <f t="shared" si="33"/>
        <v>63815891.03669519</v>
      </c>
      <c r="K22" s="36">
        <f t="shared" si="33"/>
        <v>67317422.544788778</v>
      </c>
      <c r="L22" s="36">
        <f t="shared" si="33"/>
        <v>70918463.891435847</v>
      </c>
      <c r="M22" s="36">
        <f t="shared" si="33"/>
        <v>105750927.5551434</v>
      </c>
      <c r="N22" s="137">
        <f t="shared" si="33"/>
        <v>81174258.699671701</v>
      </c>
    </row>
    <row r="23" spans="1:14" s="28" customFormat="1" x14ac:dyDescent="0.35">
      <c r="A23" s="27" t="s">
        <v>37</v>
      </c>
      <c r="B23" s="39">
        <f t="shared" ref="B23:N23" si="34">B11/B16</f>
        <v>125912449.20524538</v>
      </c>
      <c r="C23" s="39">
        <f t="shared" si="34"/>
        <v>80888980.451645195</v>
      </c>
      <c r="D23" s="39">
        <f t="shared" si="34"/>
        <v>124772466.1211632</v>
      </c>
      <c r="E23" s="39">
        <f t="shared" si="34"/>
        <v>114906470.39456986</v>
      </c>
      <c r="F23" s="39">
        <f t="shared" si="34"/>
        <v>76151010.281077236</v>
      </c>
      <c r="G23" s="39">
        <f t="shared" si="34"/>
        <v>136965887.34854761</v>
      </c>
      <c r="H23" s="39">
        <f t="shared" si="34"/>
        <v>90614476.34106198</v>
      </c>
      <c r="I23" s="39">
        <f t="shared" si="34"/>
        <v>95284904.035098344</v>
      </c>
      <c r="J23" s="39">
        <f t="shared" si="34"/>
        <v>60247263.388459437</v>
      </c>
      <c r="K23" s="39">
        <f t="shared" si="34"/>
        <v>78640570.610261679</v>
      </c>
      <c r="L23" s="39">
        <f t="shared" si="34"/>
        <v>102179144.97413449</v>
      </c>
      <c r="M23" s="39">
        <f t="shared" si="34"/>
        <v>169868370.66589952</v>
      </c>
      <c r="N23" s="141">
        <f t="shared" si="34"/>
        <v>104610106.04835963</v>
      </c>
    </row>
    <row r="24" spans="1:14" s="21" customFormat="1" x14ac:dyDescent="0.35">
      <c r="A24" s="24" t="s">
        <v>30</v>
      </c>
      <c r="B24" s="41">
        <f t="shared" ref="B24:D24" si="35">B23/B20</f>
        <v>0.57053794149404935</v>
      </c>
      <c r="C24" s="41">
        <f t="shared" si="35"/>
        <v>0.48880453650224864</v>
      </c>
      <c r="D24" s="41">
        <f t="shared" si="35"/>
        <v>0.58910413269856077</v>
      </c>
      <c r="E24" s="41">
        <f t="shared" ref="E24:F24" si="36">E23/E20</f>
        <v>0.59793242444349037</v>
      </c>
      <c r="F24" s="41">
        <f t="shared" si="36"/>
        <v>0.53011527384182633</v>
      </c>
      <c r="G24" s="41">
        <f t="shared" ref="G24" si="37">G23/G20</f>
        <v>0.57489870662570119</v>
      </c>
      <c r="H24" s="41">
        <f t="shared" ref="H24:I24" si="38">H23/H20</f>
        <v>0.54368130118865221</v>
      </c>
      <c r="I24" s="41">
        <f t="shared" si="38"/>
        <v>0.55062551423566886</v>
      </c>
      <c r="J24" s="41">
        <f t="shared" ref="J24:N24" si="39">J23/J20</f>
        <v>0.48561769743494371</v>
      </c>
      <c r="K24" s="41">
        <f t="shared" si="39"/>
        <v>0.53878906465041754</v>
      </c>
      <c r="L24" s="41">
        <f t="shared" si="39"/>
        <v>0.59029784203135949</v>
      </c>
      <c r="M24" s="41">
        <f t="shared" si="39"/>
        <v>0.61631522815092354</v>
      </c>
      <c r="N24" s="142">
        <f t="shared" si="39"/>
        <v>0.56307271169043915</v>
      </c>
    </row>
    <row r="27" spans="1:14" x14ac:dyDescent="0.35">
      <c r="A27" s="15" t="s">
        <v>3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</row>
    <row r="28" spans="1:14" x14ac:dyDescent="0.35">
      <c r="A28" s="32" t="s">
        <v>33</v>
      </c>
      <c r="B28" s="20" t="s">
        <v>170</v>
      </c>
      <c r="C28" s="20" t="s">
        <v>171</v>
      </c>
      <c r="D28" s="20" t="s">
        <v>172</v>
      </c>
      <c r="E28" s="20" t="s">
        <v>173</v>
      </c>
      <c r="F28" s="20" t="s">
        <v>174</v>
      </c>
      <c r="G28" s="13" t="s">
        <v>51</v>
      </c>
      <c r="H28" s="13" t="s">
        <v>45</v>
      </c>
      <c r="I28" s="13" t="s">
        <v>46</v>
      </c>
      <c r="J28" s="13" t="s">
        <v>47</v>
      </c>
      <c r="K28" s="13" t="s">
        <v>48</v>
      </c>
      <c r="L28" s="13" t="s">
        <v>49</v>
      </c>
      <c r="M28" s="13" t="s">
        <v>50</v>
      </c>
      <c r="N28" s="13" t="s">
        <v>44</v>
      </c>
    </row>
    <row r="29" spans="1:14" s="6" customFormat="1" x14ac:dyDescent="0.35">
      <c r="A29" s="27" t="s">
        <v>163</v>
      </c>
      <c r="B29" s="235">
        <f>Sales!B4</f>
        <v>1054</v>
      </c>
      <c r="C29" s="235">
        <f>Sales!C4</f>
        <v>1178</v>
      </c>
      <c r="D29" s="235">
        <f>Sales!D4</f>
        <v>922.85714285714289</v>
      </c>
      <c r="E29" s="235">
        <f>Sales!E4</f>
        <v>707.69230769230762</v>
      </c>
      <c r="F29" s="235">
        <f>Sales!F4</f>
        <v>707.69230769230762</v>
      </c>
      <c r="G29" s="235">
        <f>Sales!G4</f>
        <v>1163.8329238329238</v>
      </c>
      <c r="H29" s="235">
        <f>Sales!H4</f>
        <v>803.07692307692298</v>
      </c>
      <c r="I29" s="235">
        <f>Sales!I4</f>
        <v>818.32061068702285</v>
      </c>
      <c r="J29" s="235">
        <f>Sales!J4</f>
        <v>582.26600985221683</v>
      </c>
      <c r="K29" s="235">
        <f>Sales!K4</f>
        <v>639.39393939393949</v>
      </c>
      <c r="L29" s="235">
        <f>Sales!L4</f>
        <v>572.66187050359713</v>
      </c>
      <c r="M29" s="235">
        <f>Sales!M4</f>
        <v>932.6633165829146</v>
      </c>
      <c r="N29" s="235">
        <f>SUM(B29:M29)</f>
        <v>10082.457352171295</v>
      </c>
    </row>
    <row r="30" spans="1:14" x14ac:dyDescent="0.35">
      <c r="A30" s="4" t="s">
        <v>164</v>
      </c>
      <c r="B30" s="14">
        <f>Sales!B10</f>
        <v>221825135905.3476</v>
      </c>
      <c r="C30" s="14">
        <f>Sales!C10</f>
        <v>154552869640.00003</v>
      </c>
      <c r="D30" s="14">
        <f>Sales!D10</f>
        <v>215584085105.64072</v>
      </c>
      <c r="E30" s="14">
        <f>Sales!E10</f>
        <v>199545941906.59039</v>
      </c>
      <c r="F30" s="14">
        <f>Sales!F10</f>
        <v>143730877399.35358</v>
      </c>
      <c r="G30" s="14">
        <f>Sales!G10</f>
        <v>238677912096.00003</v>
      </c>
      <c r="H30" s="14">
        <f>Sales!H10</f>
        <v>161125458404.41055</v>
      </c>
      <c r="I30" s="14">
        <f>Sales!I10</f>
        <v>167764363196.68643</v>
      </c>
      <c r="J30" s="14">
        <f>Sales!J10</f>
        <v>120408859765.70216</v>
      </c>
      <c r="K30" s="14">
        <f>Sales!K10</f>
        <v>143045497524.59656</v>
      </c>
      <c r="L30" s="14">
        <f>Sales!L10</f>
        <v>175284534101.10071</v>
      </c>
      <c r="M30" s="14">
        <f>Sales!M10</f>
        <v>268241498780.2908</v>
      </c>
      <c r="N30" s="14">
        <f>SUM(B30:M30)</f>
        <v>2209787033825.7197</v>
      </c>
    </row>
    <row r="31" spans="1:14" x14ac:dyDescent="0.35">
      <c r="A31" s="5" t="s">
        <v>167</v>
      </c>
      <c r="B31" s="6">
        <f>Sales!B11</f>
        <v>4436502718.1069517</v>
      </c>
      <c r="C31" s="6">
        <f>Sales!C11</f>
        <v>3091057392.8000007</v>
      </c>
      <c r="D31" s="6">
        <f>Sales!D11</f>
        <v>4311681702.1128139</v>
      </c>
      <c r="E31" s="6">
        <f>Sales!E11</f>
        <v>3990918838.1318078</v>
      </c>
      <c r="F31" s="6">
        <f>Sales!F11</f>
        <v>2874617547.9870715</v>
      </c>
      <c r="G31" s="6">
        <f>Sales!G11</f>
        <v>4773558241.920001</v>
      </c>
      <c r="H31" s="6">
        <f>Sales!H11</f>
        <v>3222509168.0882111</v>
      </c>
      <c r="I31" s="6">
        <f>Sales!I11</f>
        <v>3355287263.9337287</v>
      </c>
      <c r="J31" s="6">
        <f>Sales!J11</f>
        <v>2408177195.3140435</v>
      </c>
      <c r="K31" s="6">
        <f>Sales!K11</f>
        <v>2860909950.4919314</v>
      </c>
      <c r="L31" s="6">
        <f>Sales!L11</f>
        <v>3505690682.0220141</v>
      </c>
      <c r="M31" s="6">
        <f>Sales!M11</f>
        <v>5364829975.6058159</v>
      </c>
      <c r="N31" s="6">
        <f>SUM(B31:M31)</f>
        <v>44195740676.514389</v>
      </c>
    </row>
    <row r="32" spans="1:14" x14ac:dyDescent="0.35">
      <c r="A32" s="7" t="s">
        <v>166</v>
      </c>
      <c r="B32" s="8">
        <f t="shared" ref="B32:F32" si="40">B30-B31</f>
        <v>217388633187.24063</v>
      </c>
      <c r="C32" s="8">
        <f t="shared" si="40"/>
        <v>151461812247.20004</v>
      </c>
      <c r="D32" s="8">
        <f t="shared" si="40"/>
        <v>211272403403.52789</v>
      </c>
      <c r="E32" s="8">
        <f t="shared" si="40"/>
        <v>195555023068.45859</v>
      </c>
      <c r="F32" s="8">
        <f t="shared" si="40"/>
        <v>140856259851.36652</v>
      </c>
      <c r="G32" s="8">
        <f t="shared" ref="G32" si="41">G30-G31</f>
        <v>233904353854.08002</v>
      </c>
      <c r="H32" s="8">
        <f>H30-H31</f>
        <v>157902949236.32233</v>
      </c>
      <c r="I32" s="8">
        <f t="shared" ref="I32:N32" si="42">I30-I31</f>
        <v>164409075932.75272</v>
      </c>
      <c r="J32" s="8">
        <f t="shared" si="42"/>
        <v>118000682570.38812</v>
      </c>
      <c r="K32" s="8">
        <f t="shared" si="42"/>
        <v>140184587574.10461</v>
      </c>
      <c r="L32" s="8">
        <f t="shared" si="42"/>
        <v>171778843419.0787</v>
      </c>
      <c r="M32" s="8">
        <f t="shared" si="42"/>
        <v>262876668804.685</v>
      </c>
      <c r="N32" s="8">
        <f t="shared" si="42"/>
        <v>2165591293149.2053</v>
      </c>
    </row>
    <row r="33" spans="1:14" x14ac:dyDescent="0.35">
      <c r="A33" s="4" t="s">
        <v>5</v>
      </c>
      <c r="B33" s="14">
        <f>Sales!B16</f>
        <v>34529040000.000008</v>
      </c>
      <c r="C33" s="14">
        <f>Sales!C16</f>
        <v>38591280000.000008</v>
      </c>
      <c r="D33" s="14">
        <f>Sales!D16</f>
        <v>30232800000</v>
      </c>
      <c r="E33" s="14">
        <f>Sales!E16</f>
        <v>23183999999.999996</v>
      </c>
      <c r="F33" s="14">
        <f>Sales!F16</f>
        <v>23183999999.999996</v>
      </c>
      <c r="G33" s="14">
        <f>Sales!G16</f>
        <v>38127166584.766586</v>
      </c>
      <c r="H33" s="14">
        <f>Sales!H16</f>
        <v>26308800000</v>
      </c>
      <c r="I33" s="14">
        <f>Sales!I16</f>
        <v>26808183206.106869</v>
      </c>
      <c r="J33" s="14">
        <f>Sales!J16</f>
        <v>19075034482.758625</v>
      </c>
      <c r="K33" s="14">
        <f>Sales!K16</f>
        <v>20946545454.54546</v>
      </c>
      <c r="L33" s="14">
        <f>Sales!L16</f>
        <v>18760402877.697845</v>
      </c>
      <c r="M33" s="14">
        <f>Sales!M16</f>
        <v>30554050251.256287</v>
      </c>
      <c r="N33" s="14">
        <f>SUM(B33:M33)</f>
        <v>330301302857.13165</v>
      </c>
    </row>
    <row r="34" spans="1:14" x14ac:dyDescent="0.35">
      <c r="A34" s="4" t="s">
        <v>6</v>
      </c>
      <c r="B34" s="14">
        <f>Sales!B17</f>
        <v>0</v>
      </c>
      <c r="C34" s="14">
        <f>Sales!C17</f>
        <v>0</v>
      </c>
      <c r="D34" s="14">
        <f>Sales!D17</f>
        <v>0</v>
      </c>
      <c r="E34" s="14">
        <f>Sales!E17</f>
        <v>0</v>
      </c>
      <c r="F34" s="14">
        <f>Sales!F17</f>
        <v>0</v>
      </c>
      <c r="G34" s="14">
        <f>Sales!G17</f>
        <v>0</v>
      </c>
      <c r="H34" s="14">
        <f>Sales!H17</f>
        <v>0</v>
      </c>
      <c r="I34" s="14">
        <f>Sales!I17</f>
        <v>0</v>
      </c>
      <c r="J34" s="14">
        <f>Sales!J17</f>
        <v>0</v>
      </c>
      <c r="K34" s="14">
        <f>Sales!K17</f>
        <v>0</v>
      </c>
      <c r="L34" s="14">
        <f>Sales!L17</f>
        <v>0</v>
      </c>
      <c r="M34" s="14">
        <f>Sales!M17</f>
        <v>0</v>
      </c>
      <c r="N34" s="6">
        <f>SUM(B34:M34)</f>
        <v>0</v>
      </c>
    </row>
    <row r="35" spans="1:14" x14ac:dyDescent="0.35">
      <c r="A35" s="7" t="s">
        <v>4</v>
      </c>
      <c r="B35" s="58">
        <f t="shared" ref="B35:F35" si="43">B33-B34</f>
        <v>34529040000.000008</v>
      </c>
      <c r="C35" s="58">
        <f t="shared" si="43"/>
        <v>38591280000.000008</v>
      </c>
      <c r="D35" s="8">
        <f t="shared" si="43"/>
        <v>30232800000</v>
      </c>
      <c r="E35" s="8">
        <f t="shared" si="43"/>
        <v>23183999999.999996</v>
      </c>
      <c r="F35" s="8">
        <f t="shared" si="43"/>
        <v>23183999999.999996</v>
      </c>
      <c r="G35" s="8">
        <f t="shared" ref="G35" si="44">G33-G34</f>
        <v>38127166584.766586</v>
      </c>
      <c r="H35" s="58">
        <f t="shared" ref="H35:N35" si="45">H33-H34</f>
        <v>26308800000</v>
      </c>
      <c r="I35" s="58">
        <f t="shared" si="45"/>
        <v>26808183206.106869</v>
      </c>
      <c r="J35" s="58">
        <f t="shared" si="45"/>
        <v>19075034482.758625</v>
      </c>
      <c r="K35" s="58">
        <f t="shared" si="45"/>
        <v>20946545454.54546</v>
      </c>
      <c r="L35" s="58">
        <f t="shared" si="45"/>
        <v>18760402877.697845</v>
      </c>
      <c r="M35" s="58">
        <f t="shared" si="45"/>
        <v>30554050251.256287</v>
      </c>
      <c r="N35" s="58">
        <f t="shared" si="45"/>
        <v>330301302857.13165</v>
      </c>
    </row>
    <row r="36" spans="1:14" s="6" customFormat="1" ht="26" customHeight="1" x14ac:dyDescent="0.35">
      <c r="A36" s="230" t="s">
        <v>9</v>
      </c>
      <c r="B36" s="6">
        <f>Sales!B19</f>
        <v>21738863318.724064</v>
      </c>
      <c r="C36" s="6">
        <f>Sales!C19</f>
        <v>15146181224.720005</v>
      </c>
      <c r="D36" s="6">
        <f>Sales!D19</f>
        <v>21127240340.352791</v>
      </c>
      <c r="E36" s="6">
        <f>Sales!E19</f>
        <v>19555502306.84586</v>
      </c>
      <c r="F36" s="6">
        <f>Sales!F19</f>
        <v>14085625985.136652</v>
      </c>
      <c r="G36" s="6">
        <f>Sales!G19</f>
        <v>23390435385.408005</v>
      </c>
      <c r="H36" s="6">
        <f>Sales!H19</f>
        <v>15790294923.632233</v>
      </c>
      <c r="I36" s="6">
        <f>Sales!I19</f>
        <v>16440907593.275272</v>
      </c>
      <c r="J36" s="6">
        <f>Sales!J19</f>
        <v>11800068257.038813</v>
      </c>
      <c r="K36" s="6">
        <f>Sales!K19</f>
        <v>14018458757.410461</v>
      </c>
      <c r="L36" s="6">
        <f>Sales!L19</f>
        <v>17177884341.907871</v>
      </c>
      <c r="M36" s="6">
        <f>Sales!M19</f>
        <v>26287666880.468502</v>
      </c>
      <c r="N36" s="14">
        <f>SUM(B36:M36)</f>
        <v>216559129314.92053</v>
      </c>
    </row>
    <row r="37" spans="1:14" s="6" customFormat="1" x14ac:dyDescent="0.35">
      <c r="A37" s="230" t="s">
        <v>8</v>
      </c>
      <c r="B37" s="6">
        <f>Sales!B20</f>
        <v>0</v>
      </c>
      <c r="C37" s="6">
        <f>Sales!C20</f>
        <v>0</v>
      </c>
      <c r="D37" s="6">
        <f>Sales!D20</f>
        <v>0</v>
      </c>
      <c r="E37" s="6">
        <f>Sales!E20</f>
        <v>0</v>
      </c>
      <c r="F37" s="6">
        <f>Sales!F20</f>
        <v>0</v>
      </c>
      <c r="G37" s="6">
        <f>Sales!G20</f>
        <v>0</v>
      </c>
      <c r="H37" s="6">
        <f>Sales!H20</f>
        <v>0</v>
      </c>
      <c r="I37" s="6">
        <f>Sales!I20</f>
        <v>0</v>
      </c>
      <c r="J37" s="6">
        <f>Sales!J20</f>
        <v>0</v>
      </c>
      <c r="K37" s="6">
        <f>Sales!K20</f>
        <v>0</v>
      </c>
      <c r="L37" s="6">
        <f>Sales!L20</f>
        <v>0</v>
      </c>
      <c r="M37" s="6">
        <f>Sales!M20</f>
        <v>0</v>
      </c>
      <c r="N37" s="6">
        <f>SUM(B37:M37)</f>
        <v>0</v>
      </c>
    </row>
    <row r="38" spans="1:14" s="6" customFormat="1" x14ac:dyDescent="0.35">
      <c r="A38" s="231" t="s">
        <v>7</v>
      </c>
      <c r="B38" s="58">
        <f t="shared" ref="B38:F38" si="46">B36-B37</f>
        <v>21738863318.724064</v>
      </c>
      <c r="C38" s="58">
        <f t="shared" si="46"/>
        <v>15146181224.720005</v>
      </c>
      <c r="D38" s="58">
        <f t="shared" si="46"/>
        <v>21127240340.352791</v>
      </c>
      <c r="E38" s="58">
        <f t="shared" si="46"/>
        <v>19555502306.84586</v>
      </c>
      <c r="F38" s="58">
        <f t="shared" si="46"/>
        <v>14085625985.136652</v>
      </c>
      <c r="G38" s="58">
        <f t="shared" ref="G38" si="47">G36-G37</f>
        <v>23390435385.408005</v>
      </c>
      <c r="H38" s="58">
        <f t="shared" ref="H38:N38" si="48">H36-H37</f>
        <v>15790294923.632233</v>
      </c>
      <c r="I38" s="58">
        <f t="shared" si="48"/>
        <v>16440907593.275272</v>
      </c>
      <c r="J38" s="58">
        <f t="shared" si="48"/>
        <v>11800068257.038813</v>
      </c>
      <c r="K38" s="58">
        <f t="shared" si="48"/>
        <v>14018458757.410461</v>
      </c>
      <c r="L38" s="58">
        <f t="shared" si="48"/>
        <v>17177884341.907871</v>
      </c>
      <c r="M38" s="58">
        <f t="shared" si="48"/>
        <v>26287666880.468502</v>
      </c>
      <c r="N38" s="58">
        <f t="shared" si="48"/>
        <v>216559129314.92053</v>
      </c>
    </row>
    <row r="39" spans="1:14" x14ac:dyDescent="0.35">
      <c r="A39" s="4" t="s">
        <v>28</v>
      </c>
      <c r="B39">
        <f>Sales!B22</f>
        <v>0</v>
      </c>
      <c r="C39">
        <f>Sales!C22</f>
        <v>0</v>
      </c>
      <c r="D39">
        <f>Sales!D22</f>
        <v>0</v>
      </c>
      <c r="E39">
        <f>Sales!E22</f>
        <v>0</v>
      </c>
      <c r="F39">
        <f>Sales!F22</f>
        <v>0</v>
      </c>
      <c r="G39">
        <f>Sales!G22</f>
        <v>0</v>
      </c>
      <c r="H39">
        <f>Sales!H22</f>
        <v>0</v>
      </c>
      <c r="I39">
        <f>Sales!I22</f>
        <v>0</v>
      </c>
      <c r="J39">
        <f>Sales!J22</f>
        <v>0</v>
      </c>
      <c r="K39">
        <f>Sales!K22</f>
        <v>0</v>
      </c>
      <c r="L39">
        <f>Sales!L22</f>
        <v>0</v>
      </c>
      <c r="M39">
        <f>Sales!M22</f>
        <v>0</v>
      </c>
      <c r="N39" s="14">
        <f>SUM(B39:M39)</f>
        <v>0</v>
      </c>
    </row>
    <row r="40" spans="1:14" x14ac:dyDescent="0.35">
      <c r="A40" s="5" t="s">
        <v>10</v>
      </c>
      <c r="B40">
        <f>Sales!B23</f>
        <v>0</v>
      </c>
      <c r="C40">
        <f>Sales!C23</f>
        <v>0</v>
      </c>
      <c r="D40">
        <f>Sales!D23</f>
        <v>0</v>
      </c>
      <c r="E40">
        <f>Sales!E23</f>
        <v>0</v>
      </c>
      <c r="F40">
        <f>Sales!F23</f>
        <v>0</v>
      </c>
      <c r="G40">
        <f>Sales!G23</f>
        <v>0</v>
      </c>
      <c r="H40">
        <f>Sales!H23</f>
        <v>0</v>
      </c>
      <c r="I40">
        <f>Sales!I23</f>
        <v>0</v>
      </c>
      <c r="J40">
        <f>Sales!J23</f>
        <v>0</v>
      </c>
      <c r="K40">
        <f>Sales!K23</f>
        <v>0</v>
      </c>
      <c r="L40">
        <f>Sales!L23</f>
        <v>0</v>
      </c>
      <c r="M40">
        <f>Sales!M23</f>
        <v>0</v>
      </c>
      <c r="N40" s="6">
        <f>SUM(B40:M40)</f>
        <v>0</v>
      </c>
    </row>
    <row r="41" spans="1:14" x14ac:dyDescent="0.35">
      <c r="A41" s="10" t="s">
        <v>11</v>
      </c>
      <c r="B41" s="9">
        <f t="shared" ref="B41:F41" si="49">B39-B40</f>
        <v>0</v>
      </c>
      <c r="C41" s="9">
        <f t="shared" si="49"/>
        <v>0</v>
      </c>
      <c r="D41" s="9">
        <f t="shared" si="49"/>
        <v>0</v>
      </c>
      <c r="E41" s="9">
        <f t="shared" si="49"/>
        <v>0</v>
      </c>
      <c r="F41" s="9">
        <f t="shared" si="49"/>
        <v>0</v>
      </c>
      <c r="G41" s="9">
        <f t="shared" ref="G41" si="50">G39-G40</f>
        <v>0</v>
      </c>
      <c r="H41" s="9">
        <f t="shared" ref="H41:N41" si="51">H39-H40</f>
        <v>0</v>
      </c>
      <c r="I41" s="9">
        <f t="shared" si="51"/>
        <v>0</v>
      </c>
      <c r="J41" s="9">
        <f t="shared" si="51"/>
        <v>0</v>
      </c>
      <c r="K41" s="9">
        <f t="shared" si="51"/>
        <v>0</v>
      </c>
      <c r="L41" s="9">
        <f t="shared" si="51"/>
        <v>0</v>
      </c>
      <c r="M41" s="9">
        <f t="shared" si="51"/>
        <v>0</v>
      </c>
      <c r="N41" s="9">
        <f t="shared" si="51"/>
        <v>0</v>
      </c>
    </row>
    <row r="42" spans="1:14" x14ac:dyDescent="0.35">
      <c r="A42" s="11" t="s">
        <v>17</v>
      </c>
      <c r="B42" s="12">
        <f>B32+B35+B38+B41</f>
        <v>273656536505.96469</v>
      </c>
      <c r="C42" s="12">
        <f t="shared" ref="C42:N42" si="52">C32+C35+C38+C41</f>
        <v>205199273471.92004</v>
      </c>
      <c r="D42" s="12">
        <f t="shared" si="52"/>
        <v>262632443743.88068</v>
      </c>
      <c r="E42" s="12">
        <f t="shared" si="52"/>
        <v>238294525375.30444</v>
      </c>
      <c r="F42" s="12">
        <f t="shared" si="52"/>
        <v>178125885836.50317</v>
      </c>
      <c r="G42" s="12">
        <f t="shared" si="52"/>
        <v>295421955824.25464</v>
      </c>
      <c r="H42" s="12">
        <f t="shared" si="52"/>
        <v>200002044159.95456</v>
      </c>
      <c r="I42" s="12">
        <f t="shared" si="52"/>
        <v>207658166732.13486</v>
      </c>
      <c r="J42" s="12">
        <f t="shared" si="52"/>
        <v>148875785310.18555</v>
      </c>
      <c r="K42" s="12">
        <f t="shared" si="52"/>
        <v>175149591786.06055</v>
      </c>
      <c r="L42" s="12">
        <f t="shared" si="52"/>
        <v>207717130638.68442</v>
      </c>
      <c r="M42" s="12">
        <f t="shared" si="52"/>
        <v>319718385936.40979</v>
      </c>
      <c r="N42" s="12">
        <f t="shared" si="52"/>
        <v>2712451725321.2573</v>
      </c>
    </row>
    <row r="45" spans="1:14" x14ac:dyDescent="0.35">
      <c r="A45" s="46" t="s">
        <v>12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</row>
    <row r="46" spans="1:14" x14ac:dyDescent="0.35">
      <c r="A46" s="32" t="s">
        <v>33</v>
      </c>
      <c r="B46" s="20" t="s">
        <v>170</v>
      </c>
      <c r="C46" s="20" t="s">
        <v>171</v>
      </c>
      <c r="D46" s="20" t="s">
        <v>172</v>
      </c>
      <c r="E46" s="20" t="s">
        <v>173</v>
      </c>
      <c r="F46" s="20" t="s">
        <v>174</v>
      </c>
      <c r="G46" s="13" t="s">
        <v>51</v>
      </c>
      <c r="H46" s="13" t="s">
        <v>45</v>
      </c>
      <c r="I46" s="13" t="s">
        <v>46</v>
      </c>
      <c r="J46" s="13" t="s">
        <v>47</v>
      </c>
      <c r="K46" s="13" t="s">
        <v>48</v>
      </c>
      <c r="L46" s="13" t="s">
        <v>49</v>
      </c>
      <c r="M46" s="13" t="s">
        <v>50</v>
      </c>
      <c r="N46" s="13" t="s">
        <v>44</v>
      </c>
    </row>
    <row r="47" spans="1:14" x14ac:dyDescent="0.35">
      <c r="A47" s="4" t="s">
        <v>13</v>
      </c>
      <c r="B47" s="14">
        <f>'Operating Costs'!E29</f>
        <v>59806503318.72406</v>
      </c>
      <c r="C47" s="14">
        <f>'Operating Costs'!F29</f>
        <v>53420461224.720001</v>
      </c>
      <c r="D47" s="14">
        <f>'Operating Costs'!G29</f>
        <v>52803526054.638504</v>
      </c>
      <c r="E47" s="14">
        <f>'Operating Costs'!H29</f>
        <v>45667625383.768929</v>
      </c>
      <c r="F47" s="14">
        <f>'Operating Costs'!I29</f>
        <v>40197749062.059723</v>
      </c>
      <c r="G47" s="14">
        <f>'Operating Costs'!J29</f>
        <v>64298354795.727417</v>
      </c>
      <c r="H47" s="14">
        <f>'Operating Costs'!K29</f>
        <v>44349464154.401459</v>
      </c>
      <c r="I47" s="14">
        <f>'Operating Costs'!L29</f>
        <v>45394278585.641685</v>
      </c>
      <c r="J47" s="14">
        <f>'Operating Costs'!M29</f>
        <v>37649067271.817139</v>
      </c>
      <c r="K47" s="14">
        <f>'Operating Costs'!N29</f>
        <v>38344786030.137733</v>
      </c>
      <c r="L47" s="14">
        <f>'Operating Costs'!O29</f>
        <v>39778520313.13089</v>
      </c>
      <c r="M47" s="14">
        <f>'Operating Costs'!P29</f>
        <v>61178340247.302673</v>
      </c>
      <c r="N47" s="14">
        <f>SUM(B47:M47)</f>
        <v>582888676442.07031</v>
      </c>
    </row>
    <row r="48" spans="1:14" x14ac:dyDescent="0.35">
      <c r="A48" s="51" t="s">
        <v>40</v>
      </c>
      <c r="B48" s="34">
        <f>IF((B32)&gt;0,((B32)-B47)/(B32),0)</f>
        <v>0.72488670432362634</v>
      </c>
      <c r="C48" s="34">
        <f t="shared" ref="C48:N48" si="53">IF((C32)&gt;0,((C32)-C47)/(C32),0)</f>
        <v>0.64730079198093349</v>
      </c>
      <c r="D48" s="34">
        <f t="shared" si="53"/>
        <v>0.75006898580225667</v>
      </c>
      <c r="E48" s="34">
        <f t="shared" si="53"/>
        <v>0.7664717343119235</v>
      </c>
      <c r="F48" s="34">
        <f t="shared" si="53"/>
        <v>0.71461865376464673</v>
      </c>
      <c r="G48" s="34">
        <f t="shared" si="53"/>
        <v>0.72510834562814674</v>
      </c>
      <c r="H48" s="34">
        <f t="shared" si="53"/>
        <v>0.71913466867533482</v>
      </c>
      <c r="I48" s="34">
        <f t="shared" si="53"/>
        <v>0.72389432683017418</v>
      </c>
      <c r="J48" s="34">
        <f t="shared" si="53"/>
        <v>0.68094195345557229</v>
      </c>
      <c r="K48" s="34">
        <f t="shared" si="53"/>
        <v>0.72646931667956838</v>
      </c>
      <c r="L48" s="34">
        <f t="shared" si="53"/>
        <v>0.76843178402310242</v>
      </c>
      <c r="M48" s="34">
        <f t="shared" si="53"/>
        <v>0.76727360200703998</v>
      </c>
      <c r="N48" s="34">
        <f t="shared" si="53"/>
        <v>0.73084086628625433</v>
      </c>
    </row>
    <row r="49" spans="1:14" x14ac:dyDescent="0.35">
      <c r="A49" s="4" t="s">
        <v>14</v>
      </c>
      <c r="B49" s="14">
        <f>'Operating Costs'!E39</f>
        <v>23582030000.000004</v>
      </c>
      <c r="C49" s="14">
        <f>'Operating Costs'!F39</f>
        <v>25345310000.000004</v>
      </c>
      <c r="D49" s="14">
        <f>'Operating Costs'!G39</f>
        <v>21717178571.428574</v>
      </c>
      <c r="E49" s="14">
        <f>'Operating Costs'!H39</f>
        <v>18657534615.384617</v>
      </c>
      <c r="F49" s="14">
        <f>'Operating Costs'!I39</f>
        <v>18657534615.384617</v>
      </c>
      <c r="G49" s="14">
        <f>'Operating Costs'!J39</f>
        <v>25143854176.904175</v>
      </c>
      <c r="H49" s="14">
        <f>'Operating Costs'!K39</f>
        <v>20001903846.153847</v>
      </c>
      <c r="I49" s="14">
        <f>'Operating Costs'!L39</f>
        <v>20218669083.969467</v>
      </c>
      <c r="J49" s="14">
        <f>'Operating Costs'!M39</f>
        <v>16861972660.098526</v>
      </c>
      <c r="K49" s="14">
        <f>'Operating Costs'!N39</f>
        <v>17674331818.18182</v>
      </c>
      <c r="L49" s="14">
        <f>'Operating Costs'!O39</f>
        <v>16725401798.561153</v>
      </c>
      <c r="M49" s="14">
        <f>'Operating Costs'!P39</f>
        <v>21832622361.809052</v>
      </c>
      <c r="N49" s="14">
        <f>SUM(B49:M49)</f>
        <v>246418343547.87582</v>
      </c>
    </row>
    <row r="50" spans="1:14" x14ac:dyDescent="0.35">
      <c r="A50" s="51" t="s">
        <v>41</v>
      </c>
      <c r="B50" s="34">
        <f t="shared" ref="B50:G50" si="54">IF(B35&gt;0,(B35-B49)/B35,0)</f>
        <v>0.31703777458046911</v>
      </c>
      <c r="C50" s="34">
        <f t="shared" si="54"/>
        <v>0.34323738419663719</v>
      </c>
      <c r="D50" s="34">
        <f t="shared" si="54"/>
        <v>0.28166830159864209</v>
      </c>
      <c r="E50" s="34">
        <f t="shared" si="54"/>
        <v>0.1952409154854805</v>
      </c>
      <c r="F50" s="34">
        <f t="shared" si="54"/>
        <v>0.1952409154854805</v>
      </c>
      <c r="G50" s="34">
        <f t="shared" si="54"/>
        <v>0.34052654762574969</v>
      </c>
      <c r="H50" s="34">
        <f t="shared" ref="H50:N50" si="55">IF(H35&gt;0,(H35-H49)/H35,0)</f>
        <v>0.23972572499871347</v>
      </c>
      <c r="I50" s="34">
        <f t="shared" si="55"/>
        <v>0.24580233846791671</v>
      </c>
      <c r="J50" s="34">
        <f t="shared" si="55"/>
        <v>0.11601875869007849</v>
      </c>
      <c r="K50" s="34">
        <f t="shared" si="55"/>
        <v>0.15621734111070618</v>
      </c>
      <c r="L50" s="34">
        <f t="shared" si="55"/>
        <v>0.10847320776654953</v>
      </c>
      <c r="M50" s="34">
        <f t="shared" si="55"/>
        <v>0.28544261129794529</v>
      </c>
      <c r="N50" s="34">
        <f t="shared" si="55"/>
        <v>0.25395891140501653</v>
      </c>
    </row>
    <row r="51" spans="1:14" x14ac:dyDescent="0.35">
      <c r="A51" s="4" t="s">
        <v>16</v>
      </c>
      <c r="B51" s="14">
        <f>'Operating Costs'!E45+(B36*50%)</f>
        <v>12411431659.362032</v>
      </c>
      <c r="C51" s="14">
        <f>'Operating Costs'!F45+(C36*50%)</f>
        <v>9115090612.3600025</v>
      </c>
      <c r="D51" s="14">
        <f>'Operating Costs'!G45+(D36*50%)</f>
        <v>12105620170.176395</v>
      </c>
      <c r="E51" s="14">
        <f>'Operating Costs'!H45+(E36*50%)</f>
        <v>11319751153.42293</v>
      </c>
      <c r="F51" s="14">
        <f>'Operating Costs'!I45+(F36*50%)</f>
        <v>8584812992.568326</v>
      </c>
      <c r="G51" s="14">
        <f>'Operating Costs'!J45+(G36*50%)</f>
        <v>13237217692.704002</v>
      </c>
      <c r="H51" s="14">
        <f>'Operating Costs'!K45+(H36*50%)</f>
        <v>9437147461.8161163</v>
      </c>
      <c r="I51" s="14">
        <f>'Operating Costs'!L45+(I36*50%)</f>
        <v>9762453796.6376362</v>
      </c>
      <c r="J51" s="14">
        <f>'Operating Costs'!M45+(J36*50%)</f>
        <v>7442034128.5194063</v>
      </c>
      <c r="K51" s="14">
        <f>'Operating Costs'!N45+(K36*50%)</f>
        <v>8551229378.7052307</v>
      </c>
      <c r="L51" s="14">
        <f>'Operating Costs'!O45+(L36*50%)</f>
        <v>10130942170.953936</v>
      </c>
      <c r="M51" s="14">
        <f>'Operating Costs'!P45+(M36*50%)</f>
        <v>14685833440.234251</v>
      </c>
      <c r="N51" s="14">
        <f>SUM(B51:M51)</f>
        <v>126783564657.46027</v>
      </c>
    </row>
    <row r="52" spans="1:14" x14ac:dyDescent="0.35">
      <c r="A52" s="51" t="s">
        <v>42</v>
      </c>
      <c r="B52" s="34">
        <f t="shared" ref="B52:G52" si="56">IF(B38&gt;0,(B38-B51)/B38,0)</f>
        <v>0.42906712842378247</v>
      </c>
      <c r="C52" s="34">
        <f t="shared" si="56"/>
        <v>0.39819215965253935</v>
      </c>
      <c r="D52" s="34">
        <f t="shared" si="56"/>
        <v>0.42701365747921194</v>
      </c>
      <c r="E52" s="34">
        <f t="shared" si="56"/>
        <v>0.42114751256171074</v>
      </c>
      <c r="F52" s="34">
        <f t="shared" si="56"/>
        <v>0.3905266971004952</v>
      </c>
      <c r="G52" s="34">
        <f t="shared" si="56"/>
        <v>0.43407561789286025</v>
      </c>
      <c r="H52" s="34">
        <f t="shared" ref="H52:M52" si="57">IF(H38&gt;0,(H38-H51)/H38,0)</f>
        <v>0.40234507921114276</v>
      </c>
      <c r="I52" s="34">
        <f t="shared" si="57"/>
        <v>0.40620955739507258</v>
      </c>
      <c r="J52" s="34">
        <f t="shared" si="57"/>
        <v>0.36932278979994987</v>
      </c>
      <c r="K52" s="34">
        <f t="shared" si="57"/>
        <v>0.39000217308590607</v>
      </c>
      <c r="L52" s="34">
        <f t="shared" si="57"/>
        <v>0.41023341586728035</v>
      </c>
      <c r="M52" s="34">
        <f t="shared" si="57"/>
        <v>0.44134131389401882</v>
      </c>
      <c r="N52" s="34">
        <f>IF(N38&gt;0,(N38-N51)/N38,0)</f>
        <v>0.41455451424035111</v>
      </c>
    </row>
    <row r="53" spans="1:14" x14ac:dyDescent="0.35">
      <c r="A53" s="18" t="s">
        <v>15</v>
      </c>
      <c r="B53" s="19">
        <f t="shared" ref="B53:D53" si="58">B47+B49+B51</f>
        <v>95799964978.08609</v>
      </c>
      <c r="C53" s="19">
        <f t="shared" si="58"/>
        <v>87880861837.080002</v>
      </c>
      <c r="D53" s="19">
        <f t="shared" si="58"/>
        <v>86626324796.243469</v>
      </c>
      <c r="E53" s="19">
        <f t="shared" ref="E53:F53" si="59">E47+E49+E51</f>
        <v>75644911152.576477</v>
      </c>
      <c r="F53" s="19">
        <f t="shared" si="59"/>
        <v>67440096670.012665</v>
      </c>
      <c r="G53" s="19">
        <f t="shared" ref="G53" si="60">G47+G49+G51</f>
        <v>102679426665.3356</v>
      </c>
      <c r="H53" s="19">
        <f t="shared" ref="H53:M53" si="61">H47+H49+H51</f>
        <v>73788515462.371429</v>
      </c>
      <c r="I53" s="19">
        <f t="shared" si="61"/>
        <v>75375401466.248795</v>
      </c>
      <c r="J53" s="19">
        <f t="shared" si="61"/>
        <v>61953074060.435074</v>
      </c>
      <c r="K53" s="19">
        <f t="shared" si="61"/>
        <v>64570347227.02478</v>
      </c>
      <c r="L53" s="19">
        <f t="shared" si="61"/>
        <v>66634864282.645981</v>
      </c>
      <c r="M53" s="19">
        <f t="shared" si="61"/>
        <v>97696796049.345978</v>
      </c>
      <c r="N53" s="19">
        <f>N47+N49+N51</f>
        <v>956090584647.40649</v>
      </c>
    </row>
    <row r="54" spans="1:14" x14ac:dyDescent="0.35">
      <c r="A54" s="18" t="s">
        <v>27</v>
      </c>
      <c r="B54" s="17">
        <f t="shared" ref="B54:D54" si="62">B53/B42</f>
        <v>0.35007373184377788</v>
      </c>
      <c r="C54" s="17">
        <f t="shared" si="62"/>
        <v>0.42827082352757856</v>
      </c>
      <c r="D54" s="17">
        <f t="shared" si="62"/>
        <v>0.32983862755631788</v>
      </c>
      <c r="E54" s="17">
        <f t="shared" ref="E54:F54" si="63">E53/E42</f>
        <v>0.31744292502498217</v>
      </c>
      <c r="F54" s="17">
        <f t="shared" si="63"/>
        <v>0.37860918615677264</v>
      </c>
      <c r="G54" s="17">
        <f t="shared" ref="G54" si="64">G53/G42</f>
        <v>0.34756870517240496</v>
      </c>
      <c r="H54" s="17">
        <f t="shared" ref="H54:N54" si="65">H53/H42</f>
        <v>0.36893880646218791</v>
      </c>
      <c r="I54" s="17">
        <f t="shared" si="65"/>
        <v>0.3629782668912705</v>
      </c>
      <c r="J54" s="17">
        <f t="shared" si="65"/>
        <v>0.41613936028182597</v>
      </c>
      <c r="K54" s="17">
        <f t="shared" si="65"/>
        <v>0.36865827986567806</v>
      </c>
      <c r="L54" s="17">
        <f t="shared" si="65"/>
        <v>0.3207961908474205</v>
      </c>
      <c r="M54" s="17">
        <f t="shared" si="65"/>
        <v>0.3055714039191269</v>
      </c>
      <c r="N54" s="17">
        <f t="shared" si="65"/>
        <v>0.35248206473948179</v>
      </c>
    </row>
    <row r="57" spans="1:14" x14ac:dyDescent="0.35">
      <c r="A57" s="44" t="s">
        <v>18</v>
      </c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</row>
    <row r="58" spans="1:14" x14ac:dyDescent="0.35">
      <c r="A58" s="32" t="s">
        <v>33</v>
      </c>
      <c r="B58" s="20" t="s">
        <v>170</v>
      </c>
      <c r="C58" s="20" t="s">
        <v>171</v>
      </c>
      <c r="D58" s="20" t="s">
        <v>172</v>
      </c>
      <c r="E58" s="20" t="s">
        <v>173</v>
      </c>
      <c r="F58" s="20" t="s">
        <v>174</v>
      </c>
      <c r="G58" s="13" t="s">
        <v>51</v>
      </c>
      <c r="H58" s="13" t="s">
        <v>45</v>
      </c>
      <c r="I58" s="13" t="s">
        <v>46</v>
      </c>
      <c r="J58" s="13" t="s">
        <v>47</v>
      </c>
      <c r="K58" s="13" t="s">
        <v>48</v>
      </c>
      <c r="L58" s="13" t="s">
        <v>49</v>
      </c>
      <c r="M58" s="13" t="s">
        <v>50</v>
      </c>
      <c r="N58" s="13" t="s">
        <v>44</v>
      </c>
    </row>
    <row r="59" spans="1:14" x14ac:dyDescent="0.35">
      <c r="A59" s="4" t="s">
        <v>19</v>
      </c>
      <c r="B59" s="6">
        <f>'Operating Costs'!T8</f>
        <v>4797375000</v>
      </c>
      <c r="C59" s="6">
        <f>'Operating Costs'!U8</f>
        <v>4797375000</v>
      </c>
      <c r="D59" s="6">
        <f>'Operating Costs'!V8</f>
        <v>4797375000</v>
      </c>
      <c r="E59" s="6">
        <f>'Operating Costs'!W8</f>
        <v>4797375000</v>
      </c>
      <c r="F59" s="6">
        <f>'Operating Costs'!X8</f>
        <v>4797375000</v>
      </c>
      <c r="G59" s="6">
        <f>'Operating Costs'!Y8</f>
        <v>4797375000</v>
      </c>
      <c r="H59" s="6">
        <f>'Operating Costs'!Z8</f>
        <v>4797375000</v>
      </c>
      <c r="I59" s="6">
        <f>'Operating Costs'!AA8</f>
        <v>4797375000</v>
      </c>
      <c r="J59" s="6">
        <f>'Operating Costs'!AB8</f>
        <v>4797375000</v>
      </c>
      <c r="K59" s="6">
        <f>'Operating Costs'!AC8</f>
        <v>4797375000</v>
      </c>
      <c r="L59" s="6">
        <f>'Operating Costs'!AD8</f>
        <v>4797375000</v>
      </c>
      <c r="M59" s="6">
        <f>'Operating Costs'!AE8</f>
        <v>4797375000</v>
      </c>
      <c r="N59" s="14">
        <f>SUM(B59:M59)</f>
        <v>57568500000</v>
      </c>
    </row>
    <row r="60" spans="1:14" x14ac:dyDescent="0.35">
      <c r="A60" s="4" t="s">
        <v>24</v>
      </c>
      <c r="B60" s="6">
        <f>'Operating Costs'!T9</f>
        <v>400000000</v>
      </c>
      <c r="C60" s="6">
        <f>'Operating Costs'!U9</f>
        <v>400000000</v>
      </c>
      <c r="D60" s="6">
        <f>'Operating Costs'!V9</f>
        <v>400000000</v>
      </c>
      <c r="E60" s="6">
        <f>'Operating Costs'!W9</f>
        <v>400000000</v>
      </c>
      <c r="F60" s="6">
        <f>'Operating Costs'!X9</f>
        <v>400000000</v>
      </c>
      <c r="G60" s="6">
        <f>'Operating Costs'!Y9</f>
        <v>400000000</v>
      </c>
      <c r="H60" s="6">
        <f>'Operating Costs'!Z9</f>
        <v>400000000</v>
      </c>
      <c r="I60" s="6">
        <f>'Operating Costs'!AA9</f>
        <v>400000000</v>
      </c>
      <c r="J60" s="6">
        <f>'Operating Costs'!AB9</f>
        <v>400000000</v>
      </c>
      <c r="K60" s="6">
        <f>'Operating Costs'!AC9</f>
        <v>400000000</v>
      </c>
      <c r="L60" s="6">
        <f>'Operating Costs'!AD9</f>
        <v>400000000</v>
      </c>
      <c r="M60" s="6">
        <f>'Operating Costs'!AE9</f>
        <v>400000000</v>
      </c>
      <c r="N60" s="14">
        <f t="shared" ref="N60:N65" si="66">SUM(B60:M60)</f>
        <v>4800000000</v>
      </c>
    </row>
    <row r="61" spans="1:14" x14ac:dyDescent="0.35">
      <c r="A61" s="4" t="s">
        <v>23</v>
      </c>
      <c r="B61" s="6">
        <f>'Operating Costs'!T10</f>
        <v>6654754077.160428</v>
      </c>
      <c r="C61" s="6">
        <f>'Operating Costs'!U10</f>
        <v>4636586089.2000008</v>
      </c>
      <c r="D61" s="6">
        <f>'Operating Costs'!V10</f>
        <v>6467522553.1692209</v>
      </c>
      <c r="E61" s="6">
        <f>'Operating Costs'!W10</f>
        <v>5986378257.1977119</v>
      </c>
      <c r="F61" s="6">
        <f>'Operating Costs'!X10</f>
        <v>4311926321.980607</v>
      </c>
      <c r="G61" s="6">
        <f>'Operating Costs'!Y10</f>
        <v>7160337362.8800011</v>
      </c>
      <c r="H61" s="6">
        <f>'Operating Costs'!Z10</f>
        <v>4833763752.1323166</v>
      </c>
      <c r="I61" s="6">
        <f>'Operating Costs'!AA10</f>
        <v>5032930895.9005928</v>
      </c>
      <c r="J61" s="6">
        <f>'Operating Costs'!AB10</f>
        <v>3612265792.9710646</v>
      </c>
      <c r="K61" s="6">
        <f>'Operating Costs'!AC10</f>
        <v>4291364925.7378964</v>
      </c>
      <c r="L61" s="6">
        <f>'Operating Costs'!AD10</f>
        <v>5258536023.033021</v>
      </c>
      <c r="M61" s="6">
        <f>'Operating Costs'!AE10</f>
        <v>8047244963.4087238</v>
      </c>
      <c r="N61" s="14">
        <f t="shared" si="66"/>
        <v>66293611014.771584</v>
      </c>
    </row>
    <row r="62" spans="1:14" x14ac:dyDescent="0.35">
      <c r="A62" s="4" t="s">
        <v>20</v>
      </c>
      <c r="B62" s="6">
        <f>'Operating Costs'!T11</f>
        <v>8873005436.2139034</v>
      </c>
      <c r="C62" s="6">
        <f>'Operating Costs'!U11</f>
        <v>6182114785.6000013</v>
      </c>
      <c r="D62" s="6">
        <f>'Operating Costs'!V11</f>
        <v>8623363404.2256279</v>
      </c>
      <c r="E62" s="6">
        <f>'Operating Costs'!W11</f>
        <v>7981837676.2636156</v>
      </c>
      <c r="F62" s="6">
        <f>'Operating Costs'!X11</f>
        <v>5749235095.974143</v>
      </c>
      <c r="G62" s="6">
        <f>'Operating Costs'!Y11</f>
        <v>9547116483.8400021</v>
      </c>
      <c r="H62" s="6">
        <f>'Operating Costs'!Z11</f>
        <v>6445018336.1764221</v>
      </c>
      <c r="I62" s="6">
        <f>'Operating Costs'!AA11</f>
        <v>6710574527.8674574</v>
      </c>
      <c r="J62" s="6">
        <f>'Operating Costs'!AB11</f>
        <v>4816354390.628087</v>
      </c>
      <c r="K62" s="6">
        <f>'Operating Costs'!AC11</f>
        <v>5721819900.9838629</v>
      </c>
      <c r="L62" s="6">
        <f>'Operating Costs'!AD11</f>
        <v>7011381364.0440283</v>
      </c>
      <c r="M62" s="6">
        <f>'Operating Costs'!AE11</f>
        <v>10729659951.211632</v>
      </c>
      <c r="N62" s="48">
        <f t="shared" si="66"/>
        <v>88391481353.028778</v>
      </c>
    </row>
    <row r="63" spans="1:14" x14ac:dyDescent="0.35">
      <c r="A63" s="4" t="s">
        <v>21</v>
      </c>
      <c r="B63" s="6">
        <f>'Operating Costs'!T12</f>
        <v>1000000000</v>
      </c>
      <c r="C63" s="6">
        <f>'Operating Costs'!U12</f>
        <v>1000000000</v>
      </c>
      <c r="D63" s="6">
        <f>'Operating Costs'!V12</f>
        <v>1000000000</v>
      </c>
      <c r="E63" s="6">
        <f>'Operating Costs'!W12</f>
        <v>1000000000</v>
      </c>
      <c r="F63" s="6">
        <f>'Operating Costs'!X12</f>
        <v>1000000000</v>
      </c>
      <c r="G63" s="6">
        <f>'Operating Costs'!Y12</f>
        <v>1000000000</v>
      </c>
      <c r="H63" s="6">
        <f>'Operating Costs'!Z12</f>
        <v>1000000000</v>
      </c>
      <c r="I63" s="6">
        <f>'Operating Costs'!AA12</f>
        <v>1000000000</v>
      </c>
      <c r="J63" s="6">
        <f>'Operating Costs'!AB12</f>
        <v>1000000000</v>
      </c>
      <c r="K63" s="6">
        <f>'Operating Costs'!AC12</f>
        <v>1000000000</v>
      </c>
      <c r="L63" s="6">
        <f>'Operating Costs'!AD12</f>
        <v>1000000000</v>
      </c>
      <c r="M63" s="6">
        <f>'Operating Costs'!AE12</f>
        <v>1000000000</v>
      </c>
      <c r="N63" s="14">
        <f t="shared" si="66"/>
        <v>12000000000</v>
      </c>
    </row>
    <row r="64" spans="1:14" x14ac:dyDescent="0.35">
      <c r="A64" t="s">
        <v>38</v>
      </c>
      <c r="B64" s="6">
        <f>'Operating Costs'!T13</f>
        <v>0</v>
      </c>
      <c r="C64" s="6">
        <f>'Operating Costs'!U13</f>
        <v>0</v>
      </c>
      <c r="D64" s="6">
        <f>'Operating Costs'!V13</f>
        <v>0</v>
      </c>
      <c r="E64" s="6">
        <f>'Operating Costs'!W13</f>
        <v>0</v>
      </c>
      <c r="F64" s="6">
        <f>'Operating Costs'!X13</f>
        <v>0</v>
      </c>
      <c r="G64" s="6">
        <f>'Operating Costs'!Y13</f>
        <v>0</v>
      </c>
      <c r="H64" s="6">
        <f>'Operating Costs'!Z13</f>
        <v>0</v>
      </c>
      <c r="I64" s="6">
        <f>'Operating Costs'!AA13</f>
        <v>0</v>
      </c>
      <c r="J64" s="6">
        <f>'Operating Costs'!AB13</f>
        <v>0</v>
      </c>
      <c r="K64" s="6">
        <f>'Operating Costs'!AC13</f>
        <v>0</v>
      </c>
      <c r="L64" s="6">
        <f>'Operating Costs'!AD13</f>
        <v>0</v>
      </c>
      <c r="M64" s="6">
        <f>'Operating Costs'!AE13</f>
        <v>0</v>
      </c>
      <c r="N64">
        <f t="shared" si="66"/>
        <v>0</v>
      </c>
    </row>
    <row r="65" spans="1:14" x14ac:dyDescent="0.35">
      <c r="A65" s="15" t="s">
        <v>22</v>
      </c>
      <c r="B65" s="16">
        <f t="shared" ref="B65:G65" si="67">SUM(B59:B64)</f>
        <v>21725134513.374329</v>
      </c>
      <c r="C65" s="16">
        <f>SUM(C59:C64)</f>
        <v>17016075874.800003</v>
      </c>
      <c r="D65" s="16">
        <f t="shared" si="67"/>
        <v>21288260957.394848</v>
      </c>
      <c r="E65" s="16">
        <f t="shared" si="67"/>
        <v>20165590933.461327</v>
      </c>
      <c r="F65" s="16">
        <f t="shared" si="67"/>
        <v>16258536417.95475</v>
      </c>
      <c r="G65" s="16">
        <f t="shared" si="67"/>
        <v>22904828846.720001</v>
      </c>
      <c r="H65" s="16">
        <f t="shared" ref="H65:L65" si="68">SUM(H59:H64)</f>
        <v>17476157088.308739</v>
      </c>
      <c r="I65" s="16">
        <f t="shared" si="68"/>
        <v>17940880423.768051</v>
      </c>
      <c r="J65" s="16">
        <f t="shared" si="68"/>
        <v>14625995183.599152</v>
      </c>
      <c r="K65" s="16">
        <f t="shared" si="68"/>
        <v>16210559826.72176</v>
      </c>
      <c r="L65" s="16">
        <f t="shared" si="68"/>
        <v>18467292387.077049</v>
      </c>
      <c r="M65" s="16">
        <f t="shared" ref="M65" si="69">SUM(M59:M64)</f>
        <v>24974279914.620354</v>
      </c>
      <c r="N65" s="16">
        <f t="shared" si="66"/>
        <v>229053592367.80038</v>
      </c>
    </row>
    <row r="66" spans="1:14" x14ac:dyDescent="0.35">
      <c r="A66" s="15" t="s">
        <v>26</v>
      </c>
      <c r="B66" s="17">
        <f t="shared" ref="B66:D66" si="70">B65/B42</f>
        <v>7.9388326662172756E-2</v>
      </c>
      <c r="C66" s="17">
        <f t="shared" si="70"/>
        <v>8.2924639970172812E-2</v>
      </c>
      <c r="D66" s="17">
        <f t="shared" si="70"/>
        <v>8.1057239745121412E-2</v>
      </c>
      <c r="E66" s="17">
        <f t="shared" ref="E66:F66" si="71">E65/E42</f>
        <v>8.4624650531527401E-2</v>
      </c>
      <c r="F66" s="17">
        <f t="shared" si="71"/>
        <v>9.127554000140109E-2</v>
      </c>
      <c r="G66" s="17">
        <f t="shared" ref="G66" si="72">G65/G42</f>
        <v>7.7532588201893821E-2</v>
      </c>
      <c r="H66" s="17">
        <f t="shared" ref="H66:L66" si="73">H65/H42</f>
        <v>8.7379892349159827E-2</v>
      </c>
      <c r="I66" s="17">
        <f t="shared" si="73"/>
        <v>8.6396218873060676E-2</v>
      </c>
      <c r="J66" s="17">
        <f t="shared" si="73"/>
        <v>9.8242942283230356E-2</v>
      </c>
      <c r="K66" s="17">
        <f t="shared" si="73"/>
        <v>9.2552655483904428E-2</v>
      </c>
      <c r="L66" s="17">
        <f t="shared" si="73"/>
        <v>8.8905967121220064E-2</v>
      </c>
      <c r="M66" s="17">
        <f t="shared" ref="M66:N66" si="74">M65/M42</f>
        <v>7.8113367929949454E-2</v>
      </c>
      <c r="N66" s="17">
        <f t="shared" si="74"/>
        <v>8.4445223570079109E-2</v>
      </c>
    </row>
    <row r="67" spans="1:14" x14ac:dyDescent="0.3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</sheetData>
  <phoneticPr fontId="8" type="noConversion"/>
  <hyperlinks>
    <hyperlink ref="A5" location="OperatingRevenueRange" display="Total Operating Revenue(NMV)" xr:uid="{59B0559B-E0BE-42E7-94CB-87F262A95F24}"/>
    <hyperlink ref="A6" location="DepartmentalExpensesRange" display="Total Departmental Expenses" xr:uid="{8427CCD1-257B-4954-AFFB-04A6CA6D2E9E}"/>
    <hyperlink ref="A8" location="UndistributedExpensesRange" display="Total Undistributed Expenses" xr:uid="{4E4F5874-340F-4944-A1F2-631F6AD29D8C}"/>
    <hyperlink ref="A28" location="PL" display="Back to P&amp;L" xr:uid="{FB8AD2D0-97B4-4285-AB75-646006557B57}"/>
    <hyperlink ref="A58" location="PL" display="Back to P&amp;L" xr:uid="{AF4D6027-5A43-4FFB-BAD6-BAA4EE540AB6}"/>
    <hyperlink ref="A46" location="PL" display="Back to P&amp;L" xr:uid="{D68BDAA2-F128-4DF1-BEEC-DF94FF1559B6}"/>
  </hyperlink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0027C-56FE-44ED-92FF-216CF70AAD73}">
  <dimension ref="A2:N29"/>
  <sheetViews>
    <sheetView zoomScale="68" zoomScaleNormal="100" workbookViewId="0">
      <pane xSplit="1" topLeftCell="B1" activePane="topRight" state="frozen"/>
      <selection pane="topRight" activeCell="E6" sqref="E6"/>
    </sheetView>
  </sheetViews>
  <sheetFormatPr defaultRowHeight="14.5" x14ac:dyDescent="0.35"/>
  <cols>
    <col min="1" max="1" width="32.26953125" customWidth="1"/>
    <col min="2" max="2" width="19.6328125" customWidth="1"/>
    <col min="3" max="13" width="16.36328125" bestFit="1" customWidth="1"/>
    <col min="14" max="14" width="17.90625" bestFit="1" customWidth="1"/>
  </cols>
  <sheetData>
    <row r="2" spans="1:14" ht="47.5" customHeight="1" x14ac:dyDescent="0.35">
      <c r="A2" s="60" t="s">
        <v>3</v>
      </c>
      <c r="B2" s="61" t="s">
        <v>56</v>
      </c>
      <c r="C2" s="61" t="s">
        <v>158</v>
      </c>
      <c r="D2" s="61" t="s">
        <v>160</v>
      </c>
      <c r="E2" s="61" t="s">
        <v>159</v>
      </c>
      <c r="F2" s="61" t="s">
        <v>161</v>
      </c>
      <c r="G2" s="61" t="s">
        <v>162</v>
      </c>
      <c r="H2" s="61" t="s">
        <v>45</v>
      </c>
      <c r="I2" s="60" t="s">
        <v>46</v>
      </c>
      <c r="J2" s="60" t="s">
        <v>47</v>
      </c>
      <c r="K2" s="60" t="s">
        <v>48</v>
      </c>
      <c r="L2" s="60" t="s">
        <v>49</v>
      </c>
      <c r="M2" s="60" t="s">
        <v>50</v>
      </c>
      <c r="N2" s="60" t="s">
        <v>54</v>
      </c>
    </row>
    <row r="3" spans="1:14" x14ac:dyDescent="0.35">
      <c r="A3" s="65" t="s">
        <v>0</v>
      </c>
      <c r="B3" s="62">
        <f>31*'Base Data'!$B1</f>
        <v>1240</v>
      </c>
      <c r="C3" s="62">
        <f>31*'Base Data'!$B1</f>
        <v>1240</v>
      </c>
      <c r="D3" s="62">
        <f>31*'Base Data'!$B1</f>
        <v>1240</v>
      </c>
      <c r="E3" s="62">
        <f>31*'Base Data'!$B1</f>
        <v>1240</v>
      </c>
      <c r="F3" s="62">
        <f>31*'Base Data'!$B1</f>
        <v>1240</v>
      </c>
      <c r="G3" s="62">
        <f>31*'Base Data'!$B1</f>
        <v>1240</v>
      </c>
      <c r="H3" s="62">
        <f>30*'Base Data'!$B1</f>
        <v>1200</v>
      </c>
      <c r="I3" s="62">
        <f>30*'Base Data'!$B1</f>
        <v>1200</v>
      </c>
      <c r="J3" s="62">
        <f>30*'Base Data'!$B1</f>
        <v>1200</v>
      </c>
      <c r="K3" s="62">
        <f>30*'Base Data'!$B1</f>
        <v>1200</v>
      </c>
      <c r="L3" s="62">
        <f>30*'Base Data'!$B1</f>
        <v>1200</v>
      </c>
      <c r="M3" s="62">
        <f>29*'Base Data'!$B1</f>
        <v>1160</v>
      </c>
      <c r="N3" s="66">
        <f>SUM(B3:M3)</f>
        <v>14600</v>
      </c>
    </row>
    <row r="4" spans="1:14" x14ac:dyDescent="0.35">
      <c r="A4" s="67" t="s">
        <v>163</v>
      </c>
      <c r="B4" s="43">
        <f>B3*B5</f>
        <v>1054</v>
      </c>
      <c r="C4" s="43">
        <f t="shared" ref="C4:M4" si="0">C3*C5</f>
        <v>1178</v>
      </c>
      <c r="D4" s="43">
        <f t="shared" si="0"/>
        <v>922.85714285714289</v>
      </c>
      <c r="E4" s="43">
        <f t="shared" si="0"/>
        <v>707.69230769230762</v>
      </c>
      <c r="F4" s="43">
        <f t="shared" si="0"/>
        <v>707.69230769230762</v>
      </c>
      <c r="G4" s="43">
        <f t="shared" si="0"/>
        <v>1163.8329238329238</v>
      </c>
      <c r="H4" s="43">
        <f t="shared" si="0"/>
        <v>803.07692307692298</v>
      </c>
      <c r="I4" s="43">
        <f t="shared" si="0"/>
        <v>818.32061068702285</v>
      </c>
      <c r="J4" s="43">
        <f t="shared" si="0"/>
        <v>582.26600985221683</v>
      </c>
      <c r="K4" s="43">
        <f t="shared" si="0"/>
        <v>639.39393939393949</v>
      </c>
      <c r="L4" s="43">
        <f t="shared" si="0"/>
        <v>572.66187050359713</v>
      </c>
      <c r="M4" s="43">
        <f t="shared" si="0"/>
        <v>932.6633165829146</v>
      </c>
      <c r="N4" s="50">
        <f t="shared" ref="N4:N6" si="1">SUM(B4:M4)</f>
        <v>10082.457352171295</v>
      </c>
    </row>
    <row r="5" spans="1:14" x14ac:dyDescent="0.35">
      <c r="A5" s="67" t="s">
        <v>157</v>
      </c>
      <c r="B5" s="34">
        <v>0.85</v>
      </c>
      <c r="C5" s="34">
        <v>0.95</v>
      </c>
      <c r="D5" s="34">
        <v>0.74423963133640558</v>
      </c>
      <c r="E5" s="34">
        <f>F5</f>
        <v>0.57071960297766744</v>
      </c>
      <c r="F5" s="34">
        <v>0.57071960297766744</v>
      </c>
      <c r="G5" s="34">
        <v>0.93857493857493857</v>
      </c>
      <c r="H5" s="34">
        <v>0.66923076923076918</v>
      </c>
      <c r="I5" s="34">
        <v>0.68193384223918574</v>
      </c>
      <c r="J5" s="34">
        <v>0.48522167487684731</v>
      </c>
      <c r="K5" s="34">
        <v>0.53282828282828287</v>
      </c>
      <c r="L5" s="34">
        <v>0.47721822541966424</v>
      </c>
      <c r="M5" s="34">
        <v>0.8040201005025126</v>
      </c>
      <c r="N5" s="49">
        <f>N4/N3</f>
        <v>0.69057927069666403</v>
      </c>
    </row>
    <row r="6" spans="1:14" x14ac:dyDescent="0.35">
      <c r="A6" s="67" t="s">
        <v>168</v>
      </c>
      <c r="B6" s="43">
        <f>B4*'Base Data'!$B$2</f>
        <v>3162</v>
      </c>
      <c r="C6" s="43">
        <f>C4*'Base Data'!$B$2</f>
        <v>3534</v>
      </c>
      <c r="D6" s="43">
        <f>D4*'Base Data'!$B$2</f>
        <v>2768.5714285714284</v>
      </c>
      <c r="E6" s="43">
        <f>E4*'Base Data'!$B$2</f>
        <v>2123.0769230769229</v>
      </c>
      <c r="F6" s="43">
        <f>F4*'Base Data'!$B$2</f>
        <v>2123.0769230769229</v>
      </c>
      <c r="G6" s="43">
        <f>G4*'Base Data'!$B$2</f>
        <v>3491.4987714987715</v>
      </c>
      <c r="H6" s="43">
        <f>H4*'Base Data'!$B$2</f>
        <v>2409.2307692307691</v>
      </c>
      <c r="I6" s="43">
        <f>I4*'Base Data'!$B$2</f>
        <v>2454.9618320610684</v>
      </c>
      <c r="J6" s="43">
        <f>J4*'Base Data'!$B$2</f>
        <v>1746.7980295566504</v>
      </c>
      <c r="K6" s="43">
        <f>K4*'Base Data'!$B$2</f>
        <v>1918.1818181818185</v>
      </c>
      <c r="L6" s="43">
        <f>L4*'Base Data'!$B$2</f>
        <v>1717.9856115107914</v>
      </c>
      <c r="M6" s="43">
        <f>M4*'Base Data'!$B$2</f>
        <v>2797.989949748744</v>
      </c>
      <c r="N6" s="50">
        <f t="shared" si="1"/>
        <v>30247.372056513886</v>
      </c>
    </row>
    <row r="7" spans="1:14" x14ac:dyDescent="0.35">
      <c r="A7" s="67" t="s">
        <v>236</v>
      </c>
      <c r="B7" s="43">
        <v>49279893.758454107</v>
      </c>
      <c r="C7" s="43">
        <v>30720720.72072072</v>
      </c>
      <c r="D7" s="43">
        <v>54699308.566563465</v>
      </c>
      <c r="E7" s="43">
        <v>66023423.894039735</v>
      </c>
      <c r="F7" s="43">
        <v>47555989.134782612</v>
      </c>
      <c r="G7" s="43">
        <v>48019895.287958115</v>
      </c>
      <c r="H7" s="43">
        <v>46979310.344827585</v>
      </c>
      <c r="I7" s="43">
        <v>48003824.62686567</v>
      </c>
      <c r="J7" s="43">
        <v>48421319.796954311</v>
      </c>
      <c r="K7" s="43">
        <v>52384800.540284358</v>
      </c>
      <c r="L7" s="43">
        <v>71671244.994974881</v>
      </c>
      <c r="M7" s="43">
        <v>67344276.112499997</v>
      </c>
      <c r="N7" s="50">
        <f>AVERAGE(B7:M7)</f>
        <v>52592000.648243792</v>
      </c>
    </row>
    <row r="8" spans="1:14" ht="29" x14ac:dyDescent="0.35">
      <c r="A8" s="119" t="s">
        <v>273</v>
      </c>
      <c r="B8" s="43">
        <f>B7*$C$28*$C$29</f>
        <v>210460280.74511158</v>
      </c>
      <c r="C8" s="43">
        <f t="shared" ref="C8:M8" si="2">C7*$C$28*$C$29</f>
        <v>131199380.00000001</v>
      </c>
      <c r="D8" s="43">
        <f t="shared" si="2"/>
        <v>233605045.78010604</v>
      </c>
      <c r="E8" s="43">
        <f t="shared" si="2"/>
        <v>281967091.82452995</v>
      </c>
      <c r="F8" s="43">
        <f t="shared" si="2"/>
        <v>203097978.93386921</v>
      </c>
      <c r="G8" s="43">
        <f t="shared" si="2"/>
        <v>205079188.95260939</v>
      </c>
      <c r="H8" s="43">
        <f t="shared" si="2"/>
        <v>200635149.3541511</v>
      </c>
      <c r="I8" s="43">
        <f t="shared" si="2"/>
        <v>205010555.7720702</v>
      </c>
      <c r="J8" s="43">
        <f t="shared" si="2"/>
        <v>206793557.80404007</v>
      </c>
      <c r="K8" s="43">
        <f t="shared" si="2"/>
        <v>223720446.36548272</v>
      </c>
      <c r="L8" s="43">
        <f t="shared" si="2"/>
        <v>306087314.57353014</v>
      </c>
      <c r="M8" s="43">
        <f t="shared" si="2"/>
        <v>287608072.50688505</v>
      </c>
      <c r="N8" s="50">
        <f>AVERAGE(B8:M8)</f>
        <v>224605338.55103216</v>
      </c>
    </row>
    <row r="9" spans="1:14" x14ac:dyDescent="0.35">
      <c r="A9" s="67" t="s">
        <v>57</v>
      </c>
      <c r="B9" s="43">
        <f>B8</f>
        <v>210460280.74511158</v>
      </c>
      <c r="C9" s="43">
        <f t="shared" ref="C9:N9" si="3">C8</f>
        <v>131199380.00000001</v>
      </c>
      <c r="D9" s="43">
        <f t="shared" si="3"/>
        <v>233605045.78010604</v>
      </c>
      <c r="E9" s="43">
        <f t="shared" si="3"/>
        <v>281967091.82452995</v>
      </c>
      <c r="F9" s="43">
        <f t="shared" si="3"/>
        <v>203097978.93386921</v>
      </c>
      <c r="G9" s="43">
        <f t="shared" si="3"/>
        <v>205079188.95260939</v>
      </c>
      <c r="H9" s="43">
        <f t="shared" si="3"/>
        <v>200635149.3541511</v>
      </c>
      <c r="I9" s="43">
        <f t="shared" si="3"/>
        <v>205010555.7720702</v>
      </c>
      <c r="J9" s="43">
        <f t="shared" si="3"/>
        <v>206793557.80404007</v>
      </c>
      <c r="K9" s="43">
        <f t="shared" si="3"/>
        <v>223720446.36548272</v>
      </c>
      <c r="L9" s="43">
        <f t="shared" si="3"/>
        <v>306087314.57353014</v>
      </c>
      <c r="M9" s="43">
        <f t="shared" si="3"/>
        <v>287608072.50688505</v>
      </c>
      <c r="N9" s="43">
        <f t="shared" si="3"/>
        <v>224605338.55103216</v>
      </c>
    </row>
    <row r="10" spans="1:14" x14ac:dyDescent="0.35">
      <c r="A10" s="67" t="s">
        <v>164</v>
      </c>
      <c r="B10" s="43">
        <f t="shared" ref="B10:M10" si="4">B9*B4</f>
        <v>221825135905.3476</v>
      </c>
      <c r="C10" s="43">
        <f t="shared" si="4"/>
        <v>154552869640.00003</v>
      </c>
      <c r="D10" s="43">
        <f t="shared" si="4"/>
        <v>215584085105.64072</v>
      </c>
      <c r="E10" s="43">
        <f t="shared" si="4"/>
        <v>199545941906.59039</v>
      </c>
      <c r="F10" s="43">
        <f t="shared" si="4"/>
        <v>143730877399.35358</v>
      </c>
      <c r="G10" s="43">
        <f t="shared" si="4"/>
        <v>238677912096.00003</v>
      </c>
      <c r="H10" s="43">
        <f t="shared" si="4"/>
        <v>161125458404.41055</v>
      </c>
      <c r="I10" s="43">
        <f t="shared" si="4"/>
        <v>167764363196.68643</v>
      </c>
      <c r="J10" s="43">
        <f t="shared" si="4"/>
        <v>120408859765.70216</v>
      </c>
      <c r="K10" s="43">
        <f t="shared" si="4"/>
        <v>143045497524.59656</v>
      </c>
      <c r="L10" s="43">
        <f t="shared" si="4"/>
        <v>175284534101.10071</v>
      </c>
      <c r="M10" s="43">
        <f t="shared" si="4"/>
        <v>268241498780.2908</v>
      </c>
      <c r="N10" s="50">
        <f>SUM(B10:M10)</f>
        <v>2209787033825.7197</v>
      </c>
    </row>
    <row r="11" spans="1:14" x14ac:dyDescent="0.35">
      <c r="A11" s="67" t="s">
        <v>165</v>
      </c>
      <c r="B11" s="43">
        <f>B10*2%</f>
        <v>4436502718.1069517</v>
      </c>
      <c r="C11" s="43">
        <f t="shared" ref="C11:M11" si="5">C10*2%</f>
        <v>3091057392.8000007</v>
      </c>
      <c r="D11" s="43">
        <f t="shared" si="5"/>
        <v>4311681702.1128139</v>
      </c>
      <c r="E11" s="43">
        <f t="shared" si="5"/>
        <v>3990918838.1318078</v>
      </c>
      <c r="F11" s="43">
        <f t="shared" si="5"/>
        <v>2874617547.9870715</v>
      </c>
      <c r="G11" s="43">
        <f t="shared" si="5"/>
        <v>4773558241.920001</v>
      </c>
      <c r="H11" s="43">
        <f t="shared" si="5"/>
        <v>3222509168.0882111</v>
      </c>
      <c r="I11" s="43">
        <f t="shared" si="5"/>
        <v>3355287263.9337287</v>
      </c>
      <c r="J11" s="43">
        <f t="shared" si="5"/>
        <v>2408177195.3140435</v>
      </c>
      <c r="K11" s="43">
        <f t="shared" si="5"/>
        <v>2860909950.4919314</v>
      </c>
      <c r="L11" s="43">
        <f t="shared" si="5"/>
        <v>3505690682.0220141</v>
      </c>
      <c r="M11" s="43">
        <f t="shared" si="5"/>
        <v>5364829975.6058159</v>
      </c>
      <c r="N11" s="50">
        <f>SUM(B11:M11)</f>
        <v>44195740676.514389</v>
      </c>
    </row>
    <row r="12" spans="1:14" x14ac:dyDescent="0.35">
      <c r="A12" s="69" t="s">
        <v>166</v>
      </c>
      <c r="B12" s="57">
        <f t="shared" ref="B12:G12" si="6">B10-B11</f>
        <v>217388633187.24063</v>
      </c>
      <c r="C12" s="57">
        <f t="shared" si="6"/>
        <v>151461812247.20004</v>
      </c>
      <c r="D12" s="57">
        <f t="shared" si="6"/>
        <v>211272403403.52789</v>
      </c>
      <c r="E12" s="57">
        <f t="shared" si="6"/>
        <v>195555023068.45859</v>
      </c>
      <c r="F12" s="57">
        <f t="shared" si="6"/>
        <v>140856259851.36652</v>
      </c>
      <c r="G12" s="57">
        <f t="shared" si="6"/>
        <v>233904353854.08002</v>
      </c>
      <c r="H12" s="57">
        <f>H10-H11</f>
        <v>157902949236.32233</v>
      </c>
      <c r="I12" s="57">
        <f t="shared" ref="I12:M12" si="7">I10-I11</f>
        <v>164409075932.75272</v>
      </c>
      <c r="J12" s="57">
        <f t="shared" si="7"/>
        <v>118000682570.38812</v>
      </c>
      <c r="K12" s="57">
        <f t="shared" si="7"/>
        <v>140184587574.10461</v>
      </c>
      <c r="L12" s="57">
        <f t="shared" si="7"/>
        <v>171778843419.0787</v>
      </c>
      <c r="M12" s="57">
        <f t="shared" si="7"/>
        <v>262876668804.685</v>
      </c>
      <c r="N12" s="70">
        <f>SUM(B12:M12)</f>
        <v>2165591293149.2051</v>
      </c>
    </row>
    <row r="13" spans="1:14" x14ac:dyDescent="0.35">
      <c r="A13" s="67" t="s">
        <v>183</v>
      </c>
      <c r="B13" s="54">
        <f>'Base Data'!B11</f>
        <v>200</v>
      </c>
      <c r="C13" s="54">
        <f>B13</f>
        <v>200</v>
      </c>
      <c r="D13" s="54">
        <f t="shared" ref="D13:M13" si="8">C13</f>
        <v>200</v>
      </c>
      <c r="E13" s="54">
        <f t="shared" si="8"/>
        <v>200</v>
      </c>
      <c r="F13" s="54">
        <f t="shared" si="8"/>
        <v>200</v>
      </c>
      <c r="G13" s="54">
        <f t="shared" si="8"/>
        <v>200</v>
      </c>
      <c r="H13" s="54">
        <f t="shared" si="8"/>
        <v>200</v>
      </c>
      <c r="I13" s="54">
        <f t="shared" si="8"/>
        <v>200</v>
      </c>
      <c r="J13" s="54">
        <f t="shared" si="8"/>
        <v>200</v>
      </c>
      <c r="K13" s="54">
        <f t="shared" si="8"/>
        <v>200</v>
      </c>
      <c r="L13" s="54">
        <f t="shared" si="8"/>
        <v>200</v>
      </c>
      <c r="M13" s="54">
        <f t="shared" si="8"/>
        <v>200</v>
      </c>
      <c r="N13" s="50">
        <f t="shared" ref="N13:N15" si="9">AVERAGE(B13:M13)</f>
        <v>200</v>
      </c>
    </row>
    <row r="14" spans="1:14" x14ac:dyDescent="0.35">
      <c r="A14" s="67" t="s">
        <v>283</v>
      </c>
      <c r="B14" s="43">
        <f>'Base Data'!$B$13+'Base Data'!$B$14</f>
        <v>9100000</v>
      </c>
      <c r="C14" s="43">
        <f>'Base Data'!$B$13+'Base Data'!$B$14</f>
        <v>9100000</v>
      </c>
      <c r="D14" s="43">
        <f>'Base Data'!$B$13+'Base Data'!$B$14</f>
        <v>9100000</v>
      </c>
      <c r="E14" s="43">
        <f>'Base Data'!$B$13+'Base Data'!$B$14</f>
        <v>9100000</v>
      </c>
      <c r="F14" s="43">
        <f>'Base Data'!$B$13+'Base Data'!$B$14</f>
        <v>9100000</v>
      </c>
      <c r="G14" s="43">
        <f>'Base Data'!$B$13+'Base Data'!$B$14</f>
        <v>9100000</v>
      </c>
      <c r="H14" s="43">
        <f>'Base Data'!$B$13+'Base Data'!$B$14</f>
        <v>9100000</v>
      </c>
      <c r="I14" s="43">
        <f>'Base Data'!$B$13+'Base Data'!$B$14</f>
        <v>9100000</v>
      </c>
      <c r="J14" s="43">
        <f>'Base Data'!$B$13+'Base Data'!$B$14</f>
        <v>9100000</v>
      </c>
      <c r="K14" s="43">
        <f>'Base Data'!$B$13+'Base Data'!$B$14</f>
        <v>9100000</v>
      </c>
      <c r="L14" s="43">
        <f>'Base Data'!$B$13+'Base Data'!$B$14</f>
        <v>9100000</v>
      </c>
      <c r="M14" s="43">
        <f>'Base Data'!$B$13+'Base Data'!$B$14</f>
        <v>9100000</v>
      </c>
      <c r="N14" s="50">
        <f>'Base Data'!$B$13+'Base Data'!$B$14</f>
        <v>9100000</v>
      </c>
    </row>
    <row r="15" spans="1:14" x14ac:dyDescent="0.35">
      <c r="A15" s="67" t="s">
        <v>184</v>
      </c>
      <c r="B15" s="204">
        <f>'Base Data'!B12</f>
        <v>0.4</v>
      </c>
      <c r="C15" s="204">
        <f>B15</f>
        <v>0.4</v>
      </c>
      <c r="D15" s="204">
        <f t="shared" ref="D15:M15" si="10">C15</f>
        <v>0.4</v>
      </c>
      <c r="E15" s="204">
        <f t="shared" si="10"/>
        <v>0.4</v>
      </c>
      <c r="F15" s="204">
        <f t="shared" si="10"/>
        <v>0.4</v>
      </c>
      <c r="G15" s="204">
        <f t="shared" si="10"/>
        <v>0.4</v>
      </c>
      <c r="H15" s="204">
        <f t="shared" si="10"/>
        <v>0.4</v>
      </c>
      <c r="I15" s="204">
        <f t="shared" si="10"/>
        <v>0.4</v>
      </c>
      <c r="J15" s="204">
        <f t="shared" si="10"/>
        <v>0.4</v>
      </c>
      <c r="K15" s="204">
        <f t="shared" si="10"/>
        <v>0.4</v>
      </c>
      <c r="L15" s="204">
        <f t="shared" si="10"/>
        <v>0.4</v>
      </c>
      <c r="M15" s="204">
        <f t="shared" si="10"/>
        <v>0.4</v>
      </c>
      <c r="N15" s="49">
        <f t="shared" si="9"/>
        <v>0.39999999999999997</v>
      </c>
    </row>
    <row r="16" spans="1:14" x14ac:dyDescent="0.35">
      <c r="A16" s="67" t="s">
        <v>5</v>
      </c>
      <c r="B16" s="43">
        <f>(B6* B15)*B14 *'Base Data'!$B$2</f>
        <v>34529040000.000008</v>
      </c>
      <c r="C16" s="43">
        <f>(C6* C15)*C14 *'Base Data'!$B$2</f>
        <v>38591280000.000008</v>
      </c>
      <c r="D16" s="43">
        <f>(D6* D15)*D14 *'Base Data'!$B$2</f>
        <v>30232800000</v>
      </c>
      <c r="E16" s="43">
        <f>(E6* E15)*E14 *'Base Data'!$B$2</f>
        <v>23183999999.999996</v>
      </c>
      <c r="F16" s="43">
        <f>(F6* F15)*F14 *'Base Data'!$B$2</f>
        <v>23183999999.999996</v>
      </c>
      <c r="G16" s="43">
        <f>(G6* G15)*G14 *'Base Data'!$B$2</f>
        <v>38127166584.766586</v>
      </c>
      <c r="H16" s="43">
        <f>(H6* H15)*H14 *'Base Data'!$B$2</f>
        <v>26308800000</v>
      </c>
      <c r="I16" s="43">
        <f>(I6* I15)*I14 *'Base Data'!$B$2</f>
        <v>26808183206.106869</v>
      </c>
      <c r="J16" s="43">
        <f>(J6* J15)*J14 *'Base Data'!$B$2</f>
        <v>19075034482.758625</v>
      </c>
      <c r="K16" s="43">
        <f>(K6* K15)*K14 *'Base Data'!$B$2</f>
        <v>20946545454.54546</v>
      </c>
      <c r="L16" s="43">
        <f>(L6* L15)*L14 *'Base Data'!$B$2</f>
        <v>18760402877.697845</v>
      </c>
      <c r="M16" s="43">
        <f>(M6* M15)*M14 *'Base Data'!$B$2</f>
        <v>30554050251.256287</v>
      </c>
      <c r="N16" s="50">
        <f>(N6* N15)*N14 *'Base Data'!$B$2</f>
        <v>330301302857.13159</v>
      </c>
    </row>
    <row r="17" spans="1:14" x14ac:dyDescent="0.35">
      <c r="A17" s="67" t="s">
        <v>6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63"/>
    </row>
    <row r="18" spans="1:14" x14ac:dyDescent="0.35">
      <c r="A18" s="7" t="s">
        <v>4</v>
      </c>
      <c r="B18" s="57">
        <f>B16-B17</f>
        <v>34529040000.000008</v>
      </c>
      <c r="C18" s="57">
        <f t="shared" ref="C18" si="11">C16-C17</f>
        <v>38591280000.000008</v>
      </c>
      <c r="D18" s="57">
        <f t="shared" ref="D18" si="12">D16-D17</f>
        <v>30232800000</v>
      </c>
      <c r="E18" s="57">
        <f t="shared" ref="E18" si="13">E16-E17</f>
        <v>23183999999.999996</v>
      </c>
      <c r="F18" s="57">
        <f t="shared" ref="F18" si="14">F16-F17</f>
        <v>23183999999.999996</v>
      </c>
      <c r="G18" s="57">
        <f t="shared" ref="G18" si="15">G16-G17</f>
        <v>38127166584.766586</v>
      </c>
      <c r="H18" s="57">
        <f>H16-H17</f>
        <v>26308800000</v>
      </c>
      <c r="I18" s="57">
        <f t="shared" ref="I18:M18" si="16">I16-I17</f>
        <v>26808183206.106869</v>
      </c>
      <c r="J18" s="57">
        <f t="shared" si="16"/>
        <v>19075034482.758625</v>
      </c>
      <c r="K18" s="57">
        <f t="shared" si="16"/>
        <v>20946545454.54546</v>
      </c>
      <c r="L18" s="57">
        <f t="shared" si="16"/>
        <v>18760402877.697845</v>
      </c>
      <c r="M18" s="57">
        <f t="shared" si="16"/>
        <v>30554050251.256287</v>
      </c>
      <c r="N18" s="70">
        <f>SUM(B18:M18)</f>
        <v>330301302857.13165</v>
      </c>
    </row>
    <row r="19" spans="1:14" ht="29" x14ac:dyDescent="0.35">
      <c r="A19" s="119" t="s">
        <v>9</v>
      </c>
      <c r="B19" s="163">
        <f>B12*'Base Data'!$B$10</f>
        <v>21738863318.724064</v>
      </c>
      <c r="C19" s="163">
        <f>C12*'Base Data'!$B$10</f>
        <v>15146181224.720005</v>
      </c>
      <c r="D19" s="163">
        <f>D12*'Base Data'!$B$10</f>
        <v>21127240340.352791</v>
      </c>
      <c r="E19" s="163">
        <f>E12*'Base Data'!$B$10</f>
        <v>19555502306.84586</v>
      </c>
      <c r="F19" s="163">
        <f>F12*'Base Data'!$B$10</f>
        <v>14085625985.136652</v>
      </c>
      <c r="G19" s="163">
        <f>G12*'Base Data'!$B$10</f>
        <v>23390435385.408005</v>
      </c>
      <c r="H19" s="163">
        <f>H12*'Base Data'!$B$10</f>
        <v>15790294923.632233</v>
      </c>
      <c r="I19" s="163">
        <f>I12*'Base Data'!$B$10</f>
        <v>16440907593.275272</v>
      </c>
      <c r="J19" s="163">
        <f>J12*'Base Data'!$B$10</f>
        <v>11800068257.038813</v>
      </c>
      <c r="K19" s="163">
        <f>K12*'Base Data'!$B$10</f>
        <v>14018458757.410461</v>
      </c>
      <c r="L19" s="163">
        <f>L12*'Base Data'!$B$10</f>
        <v>17177884341.907871</v>
      </c>
      <c r="M19" s="163">
        <f>M12*'Base Data'!$B$10</f>
        <v>26287666880.468502</v>
      </c>
      <c r="N19" s="50">
        <f>N12*'Base Data'!$B$10</f>
        <v>216559129314.92053</v>
      </c>
    </row>
    <row r="20" spans="1:14" ht="29" x14ac:dyDescent="0.35">
      <c r="A20" s="119" t="s">
        <v>8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63"/>
    </row>
    <row r="21" spans="1:14" x14ac:dyDescent="0.35">
      <c r="A21" s="10" t="s">
        <v>7</v>
      </c>
      <c r="B21" s="57">
        <f t="shared" ref="B21" si="17">B19-B20</f>
        <v>21738863318.724064</v>
      </c>
      <c r="C21" s="57">
        <f t="shared" ref="C21" si="18">C19-C20</f>
        <v>15146181224.720005</v>
      </c>
      <c r="D21" s="57">
        <f t="shared" ref="D21" si="19">D19-D20</f>
        <v>21127240340.352791</v>
      </c>
      <c r="E21" s="57">
        <f t="shared" ref="E21" si="20">E19-E20</f>
        <v>19555502306.84586</v>
      </c>
      <c r="F21" s="57">
        <f t="shared" ref="F21" si="21">F19-F20</f>
        <v>14085625985.136652</v>
      </c>
      <c r="G21" s="57">
        <f t="shared" ref="G21" si="22">G19-G20</f>
        <v>23390435385.408005</v>
      </c>
      <c r="H21" s="57">
        <f>H19-H20</f>
        <v>15790294923.632233</v>
      </c>
      <c r="I21" s="57">
        <f t="shared" ref="I21:M21" si="23">I19-I20</f>
        <v>16440907593.275272</v>
      </c>
      <c r="J21" s="57">
        <f t="shared" si="23"/>
        <v>11800068257.038813</v>
      </c>
      <c r="K21" s="57">
        <f t="shared" si="23"/>
        <v>14018458757.410461</v>
      </c>
      <c r="L21" s="57">
        <f t="shared" si="23"/>
        <v>17177884341.907871</v>
      </c>
      <c r="M21" s="57">
        <f t="shared" si="23"/>
        <v>26287666880.468502</v>
      </c>
      <c r="N21" s="70">
        <f>SUM(B21:M21)</f>
        <v>216559129314.92053</v>
      </c>
    </row>
    <row r="22" spans="1:14" ht="29" x14ac:dyDescent="0.35">
      <c r="A22" s="119" t="s">
        <v>28</v>
      </c>
      <c r="N22" s="167"/>
    </row>
    <row r="23" spans="1:14" x14ac:dyDescent="0.35">
      <c r="A23" s="67" t="s">
        <v>10</v>
      </c>
      <c r="N23" s="167"/>
    </row>
    <row r="24" spans="1:14" x14ac:dyDescent="0.35">
      <c r="A24" s="10" t="s">
        <v>11</v>
      </c>
      <c r="B24" s="57">
        <f t="shared" ref="B24" si="24">B22-B23</f>
        <v>0</v>
      </c>
      <c r="C24" s="57">
        <f t="shared" ref="C24" si="25">C22-C23</f>
        <v>0</v>
      </c>
      <c r="D24" s="57">
        <f t="shared" ref="D24" si="26">D22-D23</f>
        <v>0</v>
      </c>
      <c r="E24" s="57">
        <f t="shared" ref="E24" si="27">E22-E23</f>
        <v>0</v>
      </c>
      <c r="F24" s="57">
        <f t="shared" ref="F24" si="28">F22-F23</f>
        <v>0</v>
      </c>
      <c r="G24" s="57">
        <f t="shared" ref="G24" si="29">G22-G23</f>
        <v>0</v>
      </c>
      <c r="H24" s="57">
        <f>H22-H23</f>
        <v>0</v>
      </c>
      <c r="I24" s="57">
        <f t="shared" ref="I24:M24" si="30">I22-I23</f>
        <v>0</v>
      </c>
      <c r="J24" s="57">
        <f t="shared" si="30"/>
        <v>0</v>
      </c>
      <c r="K24" s="57">
        <f t="shared" si="30"/>
        <v>0</v>
      </c>
      <c r="L24" s="57">
        <f t="shared" si="30"/>
        <v>0</v>
      </c>
      <c r="M24" s="57">
        <f t="shared" si="30"/>
        <v>0</v>
      </c>
      <c r="N24" s="70">
        <f>SUM(B24:M24)</f>
        <v>0</v>
      </c>
    </row>
    <row r="25" spans="1:14" x14ac:dyDescent="0.35">
      <c r="A25" s="11" t="s">
        <v>17</v>
      </c>
      <c r="B25" s="12">
        <f t="shared" ref="B25:N25" si="31">B12+B18+B21+B24</f>
        <v>273656536505.96469</v>
      </c>
      <c r="C25" s="12">
        <f t="shared" si="31"/>
        <v>205199273471.92004</v>
      </c>
      <c r="D25" s="12">
        <f t="shared" si="31"/>
        <v>262632443743.88068</v>
      </c>
      <c r="E25" s="12">
        <f t="shared" si="31"/>
        <v>238294525375.30444</v>
      </c>
      <c r="F25" s="12">
        <f t="shared" si="31"/>
        <v>178125885836.50317</v>
      </c>
      <c r="G25" s="12">
        <f t="shared" si="31"/>
        <v>295421955824.25464</v>
      </c>
      <c r="H25" s="12">
        <f t="shared" si="31"/>
        <v>200002044159.95456</v>
      </c>
      <c r="I25" s="12">
        <f t="shared" si="31"/>
        <v>207658166732.13486</v>
      </c>
      <c r="J25" s="12">
        <f t="shared" si="31"/>
        <v>148875785310.18555</v>
      </c>
      <c r="K25" s="12">
        <f t="shared" si="31"/>
        <v>175149591786.06055</v>
      </c>
      <c r="L25" s="12">
        <f t="shared" si="31"/>
        <v>207717130638.68442</v>
      </c>
      <c r="M25" s="12">
        <f t="shared" si="31"/>
        <v>319718385936.40979</v>
      </c>
      <c r="N25" s="189">
        <f t="shared" si="31"/>
        <v>2712451725321.2573</v>
      </c>
    </row>
    <row r="27" spans="1:14" x14ac:dyDescent="0.35">
      <c r="B27" t="s">
        <v>276</v>
      </c>
      <c r="C27" s="228">
        <v>65599690</v>
      </c>
    </row>
    <row r="28" spans="1:14" x14ac:dyDescent="0.35">
      <c r="B28" t="s">
        <v>275</v>
      </c>
      <c r="C28" s="22">
        <f>C27/C7</f>
        <v>2.1353564780058654</v>
      </c>
    </row>
    <row r="29" spans="1:14" x14ac:dyDescent="0.35">
      <c r="B29" t="s">
        <v>274</v>
      </c>
      <c r="C29" s="121">
        <v>2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0BD5-99DA-4AD7-B697-E1D7AC13E543}">
  <dimension ref="A1:AE55"/>
  <sheetViews>
    <sheetView topLeftCell="A27" zoomScale="57" zoomScaleNormal="80" workbookViewId="0">
      <selection sqref="A1:XFD1048576"/>
    </sheetView>
  </sheetViews>
  <sheetFormatPr defaultColWidth="8.81640625" defaultRowHeight="14.5" x14ac:dyDescent="0.35"/>
  <cols>
    <col min="1" max="1" width="21.90625" style="73" bestFit="1" customWidth="1"/>
    <col min="2" max="2" width="30.81640625" style="73" bestFit="1" customWidth="1"/>
    <col min="3" max="3" width="33.54296875" style="73" bestFit="1" customWidth="1"/>
    <col min="4" max="4" width="35" style="73" bestFit="1" customWidth="1"/>
    <col min="5" max="10" width="15.90625" style="73" bestFit="1" customWidth="1"/>
    <col min="11" max="16" width="15.90625" style="84" bestFit="1" customWidth="1"/>
    <col min="17" max="17" width="8.81640625" style="73"/>
    <col min="18" max="18" width="9.81640625" style="73" bestFit="1" customWidth="1"/>
    <col min="19" max="19" width="43.6328125" style="73" bestFit="1" customWidth="1"/>
    <col min="20" max="20" width="14" style="73" bestFit="1" customWidth="1"/>
    <col min="21" max="21" width="13.6328125" style="73" bestFit="1" customWidth="1"/>
    <col min="22" max="22" width="13.36328125" style="73" bestFit="1" customWidth="1"/>
    <col min="23" max="23" width="13.6328125" style="73" bestFit="1" customWidth="1"/>
    <col min="24" max="25" width="14" style="73" bestFit="1" customWidth="1"/>
    <col min="26" max="27" width="13.6328125" style="73" bestFit="1" customWidth="1"/>
    <col min="28" max="28" width="14" style="73" bestFit="1" customWidth="1"/>
    <col min="29" max="29" width="13.1796875" style="73" bestFit="1" customWidth="1"/>
    <col min="30" max="31" width="14" style="73" bestFit="1" customWidth="1"/>
    <col min="32" max="16384" width="8.81640625" style="73"/>
  </cols>
  <sheetData>
    <row r="1" spans="1:31" x14ac:dyDescent="0.35">
      <c r="A1" s="285"/>
      <c r="B1" s="286"/>
      <c r="C1" s="286"/>
      <c r="D1" s="287"/>
      <c r="E1" s="61" t="s">
        <v>56</v>
      </c>
      <c r="F1" s="61" t="s">
        <v>158</v>
      </c>
      <c r="G1" s="61" t="s">
        <v>160</v>
      </c>
      <c r="H1" s="61" t="s">
        <v>159</v>
      </c>
      <c r="I1" s="61" t="s">
        <v>161</v>
      </c>
      <c r="J1" s="61" t="s">
        <v>162</v>
      </c>
      <c r="K1" s="61" t="s">
        <v>45</v>
      </c>
      <c r="L1" s="60" t="s">
        <v>46</v>
      </c>
      <c r="M1" s="60" t="s">
        <v>47</v>
      </c>
      <c r="N1" s="60" t="s">
        <v>48</v>
      </c>
      <c r="O1" s="60" t="s">
        <v>49</v>
      </c>
      <c r="P1" s="60" t="s">
        <v>50</v>
      </c>
      <c r="S1" s="74"/>
      <c r="T1" s="61" t="s">
        <v>56</v>
      </c>
      <c r="U1" s="61" t="s">
        <v>158</v>
      </c>
      <c r="V1" s="61" t="s">
        <v>160</v>
      </c>
      <c r="W1" s="61" t="s">
        <v>159</v>
      </c>
      <c r="X1" s="61" t="s">
        <v>161</v>
      </c>
      <c r="Y1" s="61" t="s">
        <v>162</v>
      </c>
      <c r="Z1" s="61" t="s">
        <v>45</v>
      </c>
      <c r="AA1" s="60" t="s">
        <v>46</v>
      </c>
      <c r="AB1" s="60" t="s">
        <v>47</v>
      </c>
      <c r="AC1" s="60" t="s">
        <v>48</v>
      </c>
      <c r="AD1" s="60" t="s">
        <v>49</v>
      </c>
      <c r="AE1" s="60" t="s">
        <v>50</v>
      </c>
    </row>
    <row r="2" spans="1:31" x14ac:dyDescent="0.35">
      <c r="A2" s="282" t="s">
        <v>58</v>
      </c>
      <c r="B2" s="283"/>
      <c r="C2" s="283"/>
      <c r="D2" s="284"/>
      <c r="E2" s="75">
        <f>'Base Data'!B1</f>
        <v>40</v>
      </c>
      <c r="F2" s="75">
        <f>E2</f>
        <v>40</v>
      </c>
      <c r="G2" s="75">
        <f t="shared" ref="G2:P2" si="0">F2</f>
        <v>40</v>
      </c>
      <c r="H2" s="75">
        <f t="shared" si="0"/>
        <v>40</v>
      </c>
      <c r="I2" s="75">
        <f t="shared" si="0"/>
        <v>40</v>
      </c>
      <c r="J2" s="75">
        <f t="shared" si="0"/>
        <v>40</v>
      </c>
      <c r="K2" s="75">
        <f t="shared" si="0"/>
        <v>40</v>
      </c>
      <c r="L2" s="75">
        <f t="shared" si="0"/>
        <v>40</v>
      </c>
      <c r="M2" s="75">
        <f t="shared" si="0"/>
        <v>40</v>
      </c>
      <c r="N2" s="75">
        <f t="shared" si="0"/>
        <v>40</v>
      </c>
      <c r="O2" s="75">
        <f t="shared" si="0"/>
        <v>40</v>
      </c>
      <c r="P2" s="75">
        <f t="shared" si="0"/>
        <v>40</v>
      </c>
      <c r="R2" s="77"/>
      <c r="S2" s="26" t="s">
        <v>13</v>
      </c>
      <c r="T2" s="55">
        <f t="shared" ref="T2:AE2" si="1">E29</f>
        <v>59806503318.72406</v>
      </c>
      <c r="U2" s="55">
        <f t="shared" si="1"/>
        <v>53420461224.720001</v>
      </c>
      <c r="V2" s="55">
        <f t="shared" si="1"/>
        <v>52803526054.638504</v>
      </c>
      <c r="W2" s="55">
        <f t="shared" si="1"/>
        <v>45667625383.768929</v>
      </c>
      <c r="X2" s="55">
        <f t="shared" si="1"/>
        <v>40197749062.059723</v>
      </c>
      <c r="Y2" s="55">
        <f t="shared" si="1"/>
        <v>64298354795.727417</v>
      </c>
      <c r="Z2" s="55">
        <f t="shared" si="1"/>
        <v>44349464154.401459</v>
      </c>
      <c r="AA2" s="55">
        <f t="shared" si="1"/>
        <v>45394278585.641685</v>
      </c>
      <c r="AB2" s="55">
        <f t="shared" si="1"/>
        <v>37649067271.817139</v>
      </c>
      <c r="AC2" s="55">
        <f t="shared" si="1"/>
        <v>38344786030.137733</v>
      </c>
      <c r="AD2" s="55">
        <f t="shared" si="1"/>
        <v>39778520313.13089</v>
      </c>
      <c r="AE2" s="55">
        <f t="shared" si="1"/>
        <v>61178340247.302673</v>
      </c>
    </row>
    <row r="3" spans="1:31" x14ac:dyDescent="0.35">
      <c r="A3" s="282" t="s">
        <v>59</v>
      </c>
      <c r="B3" s="283"/>
      <c r="C3" s="283"/>
      <c r="D3" s="284"/>
      <c r="E3" s="78">
        <f>Sales!B3</f>
        <v>1240</v>
      </c>
      <c r="F3" s="78">
        <f>Sales!C3</f>
        <v>1240</v>
      </c>
      <c r="G3" s="78">
        <f>Sales!D3</f>
        <v>1240</v>
      </c>
      <c r="H3" s="78">
        <f>Sales!E3</f>
        <v>1240</v>
      </c>
      <c r="I3" s="78">
        <f>Sales!F3</f>
        <v>1240</v>
      </c>
      <c r="J3" s="78">
        <f>Sales!G3</f>
        <v>1240</v>
      </c>
      <c r="K3" s="78">
        <f>Sales!H3</f>
        <v>1200</v>
      </c>
      <c r="L3" s="78">
        <f>Sales!I3</f>
        <v>1200</v>
      </c>
      <c r="M3" s="78">
        <f>Sales!J3</f>
        <v>1200</v>
      </c>
      <c r="N3" s="78">
        <f>Sales!K3</f>
        <v>1200</v>
      </c>
      <c r="O3" s="78">
        <f>Sales!L3</f>
        <v>1200</v>
      </c>
      <c r="P3" s="78">
        <f>Sales!M3</f>
        <v>1160</v>
      </c>
      <c r="S3" s="26" t="s">
        <v>14</v>
      </c>
      <c r="T3" s="55">
        <f t="shared" ref="T3:AE3" si="2">E39</f>
        <v>23582030000.000004</v>
      </c>
      <c r="U3" s="55">
        <f t="shared" si="2"/>
        <v>25345310000.000004</v>
      </c>
      <c r="V3" s="55">
        <f t="shared" si="2"/>
        <v>21717178571.428574</v>
      </c>
      <c r="W3" s="55">
        <f t="shared" si="2"/>
        <v>18657534615.384617</v>
      </c>
      <c r="X3" s="55">
        <f t="shared" si="2"/>
        <v>18657534615.384617</v>
      </c>
      <c r="Y3" s="55">
        <f t="shared" si="2"/>
        <v>25143854176.904175</v>
      </c>
      <c r="Z3" s="55">
        <f t="shared" si="2"/>
        <v>20001903846.153847</v>
      </c>
      <c r="AA3" s="55">
        <f t="shared" si="2"/>
        <v>20218669083.969467</v>
      </c>
      <c r="AB3" s="55">
        <f t="shared" si="2"/>
        <v>16861972660.098526</v>
      </c>
      <c r="AC3" s="55">
        <f t="shared" si="2"/>
        <v>17674331818.18182</v>
      </c>
      <c r="AD3" s="55">
        <f t="shared" si="2"/>
        <v>16725401798.561153</v>
      </c>
      <c r="AE3" s="55">
        <f t="shared" si="2"/>
        <v>21832622361.809052</v>
      </c>
    </row>
    <row r="4" spans="1:31" x14ac:dyDescent="0.35">
      <c r="A4" s="282" t="s">
        <v>55</v>
      </c>
      <c r="B4" s="283"/>
      <c r="C4" s="283"/>
      <c r="D4" s="284"/>
      <c r="E4" s="78">
        <f>Sales!B4</f>
        <v>1054</v>
      </c>
      <c r="F4" s="78">
        <f>Sales!C4</f>
        <v>1178</v>
      </c>
      <c r="G4" s="78">
        <f>Sales!D4</f>
        <v>922.85714285714289</v>
      </c>
      <c r="H4" s="78">
        <f>Sales!E4</f>
        <v>707.69230769230762</v>
      </c>
      <c r="I4" s="78">
        <f>Sales!F4</f>
        <v>707.69230769230762</v>
      </c>
      <c r="J4" s="78">
        <f>Sales!G4</f>
        <v>1163.8329238329238</v>
      </c>
      <c r="K4" s="78">
        <f>Sales!H4</f>
        <v>803.07692307692298</v>
      </c>
      <c r="L4" s="78">
        <f>Sales!I4</f>
        <v>818.32061068702285</v>
      </c>
      <c r="M4" s="78">
        <f>Sales!J4</f>
        <v>582.26600985221683</v>
      </c>
      <c r="N4" s="78">
        <f>Sales!K4</f>
        <v>639.39393939393949</v>
      </c>
      <c r="O4" s="78">
        <f>Sales!L4</f>
        <v>572.66187050359713</v>
      </c>
      <c r="P4" s="78">
        <f>Sales!M4</f>
        <v>932.6633165829146</v>
      </c>
      <c r="S4" s="24" t="s">
        <v>16</v>
      </c>
      <c r="T4" s="81">
        <f t="shared" ref="T4:AE4" si="3">E45</f>
        <v>1542000000</v>
      </c>
      <c r="U4" s="81">
        <f t="shared" si="3"/>
        <v>1542000000</v>
      </c>
      <c r="V4" s="81">
        <f t="shared" si="3"/>
        <v>1542000000</v>
      </c>
      <c r="W4" s="81">
        <f t="shared" si="3"/>
        <v>1542000000</v>
      </c>
      <c r="X4" s="81">
        <f t="shared" si="3"/>
        <v>1542000000</v>
      </c>
      <c r="Y4" s="81">
        <f t="shared" si="3"/>
        <v>1542000000</v>
      </c>
      <c r="Z4" s="81">
        <f t="shared" si="3"/>
        <v>1542000000</v>
      </c>
      <c r="AA4" s="81">
        <f t="shared" si="3"/>
        <v>1542000000</v>
      </c>
      <c r="AB4" s="81">
        <f t="shared" si="3"/>
        <v>1542000000</v>
      </c>
      <c r="AC4" s="81">
        <f t="shared" si="3"/>
        <v>1542000000</v>
      </c>
      <c r="AD4" s="81">
        <f t="shared" si="3"/>
        <v>1542000000</v>
      </c>
      <c r="AE4" s="81">
        <f t="shared" si="3"/>
        <v>1542000000</v>
      </c>
    </row>
    <row r="5" spans="1:31" x14ac:dyDescent="0.35">
      <c r="A5" s="282" t="s">
        <v>52</v>
      </c>
      <c r="B5" s="283"/>
      <c r="C5" s="283"/>
      <c r="D5" s="284"/>
      <c r="E5" s="120">
        <f>Sales!B5</f>
        <v>0.85</v>
      </c>
      <c r="F5" s="120">
        <f>Sales!C5</f>
        <v>0.95</v>
      </c>
      <c r="G5" s="120">
        <f>Sales!D5</f>
        <v>0.74423963133640558</v>
      </c>
      <c r="H5" s="120">
        <f>Sales!E5</f>
        <v>0.57071960297766744</v>
      </c>
      <c r="I5" s="120">
        <f>Sales!F5</f>
        <v>0.57071960297766744</v>
      </c>
      <c r="J5" s="120">
        <f>Sales!G5</f>
        <v>0.93857493857493857</v>
      </c>
      <c r="K5" s="120">
        <f>Sales!H5</f>
        <v>0.66923076923076918</v>
      </c>
      <c r="L5" s="120">
        <f>Sales!I5</f>
        <v>0.68193384223918574</v>
      </c>
      <c r="M5" s="120">
        <f>Sales!J5</f>
        <v>0.48522167487684731</v>
      </c>
      <c r="N5" s="120">
        <f>Sales!K5</f>
        <v>0.53282828282828287</v>
      </c>
      <c r="O5" s="120">
        <f>Sales!L5</f>
        <v>0.47721822541966424</v>
      </c>
      <c r="P5" s="120">
        <f>Sales!M5</f>
        <v>0.8040201005025126</v>
      </c>
      <c r="S5"/>
      <c r="T5" s="55"/>
      <c r="U5" s="55"/>
      <c r="V5" s="55"/>
      <c r="W5" s="55"/>
      <c r="X5" s="55"/>
      <c r="Y5" s="55"/>
      <c r="Z5" s="55"/>
    </row>
    <row r="6" spans="1:31" x14ac:dyDescent="0.35">
      <c r="A6" s="282" t="s">
        <v>168</v>
      </c>
      <c r="B6" s="283"/>
      <c r="C6" s="283"/>
      <c r="D6" s="284"/>
      <c r="E6" s="123">
        <f>Sales!B6</f>
        <v>3162</v>
      </c>
      <c r="F6" s="123">
        <f>Sales!C6</f>
        <v>3534</v>
      </c>
      <c r="G6" s="123">
        <f>Sales!D6</f>
        <v>2768.5714285714284</v>
      </c>
      <c r="H6" s="123">
        <f>Sales!E6</f>
        <v>2123.0769230769229</v>
      </c>
      <c r="I6" s="123">
        <f>Sales!F6</f>
        <v>2123.0769230769229</v>
      </c>
      <c r="J6" s="123">
        <f>Sales!G6</f>
        <v>3491.4987714987715</v>
      </c>
      <c r="K6" s="123">
        <f>Sales!H6</f>
        <v>2409.2307692307691</v>
      </c>
      <c r="L6" s="123">
        <f>Sales!I6</f>
        <v>2454.9618320610684</v>
      </c>
      <c r="M6" s="123">
        <f>Sales!J6</f>
        <v>1746.7980295566504</v>
      </c>
      <c r="N6" s="123">
        <f>Sales!K6</f>
        <v>1918.1818181818185</v>
      </c>
      <c r="O6" s="123">
        <f>Sales!L6</f>
        <v>1717.9856115107914</v>
      </c>
      <c r="P6" s="123">
        <f>Sales!M6</f>
        <v>2797.989949748744</v>
      </c>
      <c r="S6" s="51"/>
    </row>
    <row r="7" spans="1:31" ht="13" x14ac:dyDescent="0.35">
      <c r="A7" s="282" t="s">
        <v>60</v>
      </c>
      <c r="B7" s="283"/>
      <c r="C7" s="283"/>
      <c r="D7" s="284"/>
      <c r="E7" s="78">
        <f>'Base Data'!$B$5</f>
        <v>4250000</v>
      </c>
      <c r="F7" s="78">
        <f>'Base Data'!$B$5</f>
        <v>4250000</v>
      </c>
      <c r="G7" s="78">
        <f>'Base Data'!$B$5</f>
        <v>4250000</v>
      </c>
      <c r="H7" s="78">
        <f>'Base Data'!$B$5</f>
        <v>4250000</v>
      </c>
      <c r="I7" s="78">
        <f>'Base Data'!$B$5</f>
        <v>4250000</v>
      </c>
      <c r="J7" s="78">
        <f>'Base Data'!$B$5</f>
        <v>4250000</v>
      </c>
      <c r="K7" s="78">
        <f>'Base Data'!$B$5</f>
        <v>4250000</v>
      </c>
      <c r="L7" s="78">
        <f>'Base Data'!$B$5</f>
        <v>4250000</v>
      </c>
      <c r="M7" s="78">
        <f>'Base Data'!$B$5</f>
        <v>4250000</v>
      </c>
      <c r="N7" s="78">
        <f>'Base Data'!$B$5</f>
        <v>4250000</v>
      </c>
      <c r="O7" s="78">
        <f>'Base Data'!$B$5</f>
        <v>4250000</v>
      </c>
      <c r="P7" s="78">
        <f>'Base Data'!$B$5</f>
        <v>4250000</v>
      </c>
    </row>
    <row r="8" spans="1:31" x14ac:dyDescent="0.35">
      <c r="A8" s="282" t="s">
        <v>61</v>
      </c>
      <c r="B8" s="283"/>
      <c r="C8" s="283"/>
      <c r="D8" s="284"/>
      <c r="E8" s="78">
        <f>'Base Data'!$B$6</f>
        <v>1050000</v>
      </c>
      <c r="F8" s="78">
        <f>'Base Data'!$B$6</f>
        <v>1050000</v>
      </c>
      <c r="G8" s="78">
        <f>'Base Data'!$B$6</f>
        <v>1050000</v>
      </c>
      <c r="H8" s="78">
        <f>'Base Data'!$B$6</f>
        <v>1050000</v>
      </c>
      <c r="I8" s="78">
        <f>'Base Data'!$B$6</f>
        <v>1050000</v>
      </c>
      <c r="J8" s="78">
        <f>'Base Data'!$B$6</f>
        <v>1050000</v>
      </c>
      <c r="K8" s="78">
        <f>'Base Data'!$B$6</f>
        <v>1050000</v>
      </c>
      <c r="L8" s="78">
        <f>'Base Data'!$B$6</f>
        <v>1050000</v>
      </c>
      <c r="M8" s="78">
        <f>'Base Data'!$B$6</f>
        <v>1050000</v>
      </c>
      <c r="N8" s="78">
        <f>'Base Data'!$B$6</f>
        <v>1050000</v>
      </c>
      <c r="O8" s="78">
        <f>'Base Data'!$B$6</f>
        <v>1050000</v>
      </c>
      <c r="P8" s="78">
        <f>'Base Data'!$B$6</f>
        <v>1050000</v>
      </c>
      <c r="S8" s="25" t="s">
        <v>19</v>
      </c>
      <c r="T8" s="82">
        <f t="shared" ref="T8:AE8" si="4">E46</f>
        <v>4797375000</v>
      </c>
      <c r="U8" s="82">
        <f t="shared" si="4"/>
        <v>4797375000</v>
      </c>
      <c r="V8" s="82">
        <f t="shared" si="4"/>
        <v>4797375000</v>
      </c>
      <c r="W8" s="82">
        <f t="shared" si="4"/>
        <v>4797375000</v>
      </c>
      <c r="X8" s="82">
        <f t="shared" si="4"/>
        <v>4797375000</v>
      </c>
      <c r="Y8" s="82">
        <f t="shared" si="4"/>
        <v>4797375000</v>
      </c>
      <c r="Z8" s="82">
        <f t="shared" si="4"/>
        <v>4797375000</v>
      </c>
      <c r="AA8" s="82">
        <f t="shared" si="4"/>
        <v>4797375000</v>
      </c>
      <c r="AB8" s="82">
        <f t="shared" si="4"/>
        <v>4797375000</v>
      </c>
      <c r="AC8" s="82">
        <f t="shared" si="4"/>
        <v>4797375000</v>
      </c>
      <c r="AD8" s="82">
        <f t="shared" si="4"/>
        <v>4797375000</v>
      </c>
      <c r="AE8" s="82">
        <f t="shared" si="4"/>
        <v>4797375000</v>
      </c>
    </row>
    <row r="9" spans="1:31" x14ac:dyDescent="0.35">
      <c r="A9" s="282" t="s">
        <v>62</v>
      </c>
      <c r="B9" s="283"/>
      <c r="C9" s="283"/>
      <c r="D9" s="284"/>
      <c r="E9" s="78">
        <f>'Base Data'!$B$7</f>
        <v>1620000</v>
      </c>
      <c r="F9" s="78">
        <f>'Base Data'!$B$7</f>
        <v>1620000</v>
      </c>
      <c r="G9" s="78">
        <f>'Base Data'!$B$7</f>
        <v>1620000</v>
      </c>
      <c r="H9" s="78">
        <f>'Base Data'!$B$7</f>
        <v>1620000</v>
      </c>
      <c r="I9" s="78">
        <f>'Base Data'!$B$7</f>
        <v>1620000</v>
      </c>
      <c r="J9" s="78">
        <f>'Base Data'!$B$7</f>
        <v>1620000</v>
      </c>
      <c r="K9" s="78">
        <f>'Base Data'!$B$7</f>
        <v>1620000</v>
      </c>
      <c r="L9" s="78">
        <f>'Base Data'!$B$7</f>
        <v>1620000</v>
      </c>
      <c r="M9" s="78">
        <f>'Base Data'!$B$7</f>
        <v>1620000</v>
      </c>
      <c r="N9" s="78">
        <f>'Base Data'!$B$7</f>
        <v>1620000</v>
      </c>
      <c r="O9" s="78">
        <f>'Base Data'!$B$7</f>
        <v>1620000</v>
      </c>
      <c r="P9" s="78">
        <f>'Base Data'!$B$7</f>
        <v>1620000</v>
      </c>
      <c r="S9" s="26" t="s">
        <v>24</v>
      </c>
      <c r="T9" s="55">
        <f t="shared" ref="T9:AE9" si="5">E48</f>
        <v>400000000</v>
      </c>
      <c r="U9" s="55">
        <f t="shared" si="5"/>
        <v>400000000</v>
      </c>
      <c r="V9" s="55">
        <f t="shared" si="5"/>
        <v>400000000</v>
      </c>
      <c r="W9" s="55">
        <f t="shared" si="5"/>
        <v>400000000</v>
      </c>
      <c r="X9" s="55">
        <f t="shared" si="5"/>
        <v>400000000</v>
      </c>
      <c r="Y9" s="55">
        <f t="shared" si="5"/>
        <v>400000000</v>
      </c>
      <c r="Z9" s="55">
        <f t="shared" si="5"/>
        <v>400000000</v>
      </c>
      <c r="AA9" s="55">
        <f t="shared" si="5"/>
        <v>400000000</v>
      </c>
      <c r="AB9" s="55">
        <f t="shared" si="5"/>
        <v>400000000</v>
      </c>
      <c r="AC9" s="55">
        <f t="shared" si="5"/>
        <v>400000000</v>
      </c>
      <c r="AD9" s="55">
        <f t="shared" si="5"/>
        <v>400000000</v>
      </c>
      <c r="AE9" s="55">
        <f t="shared" si="5"/>
        <v>400000000</v>
      </c>
    </row>
    <row r="10" spans="1:31" ht="15" customHeight="1" x14ac:dyDescent="0.35">
      <c r="A10" s="282" t="s">
        <v>63</v>
      </c>
      <c r="B10" s="283"/>
      <c r="C10" s="283"/>
      <c r="D10" s="284"/>
      <c r="E10" s="78">
        <f>'Base Data'!$B$8</f>
        <v>1700000</v>
      </c>
      <c r="F10" s="78">
        <f>'Base Data'!$B$8</f>
        <v>1700000</v>
      </c>
      <c r="G10" s="78">
        <f>'Base Data'!$B$8</f>
        <v>1700000</v>
      </c>
      <c r="H10" s="78">
        <f>'Base Data'!$B$8</f>
        <v>1700000</v>
      </c>
      <c r="I10" s="78">
        <f>'Base Data'!$B$8</f>
        <v>1700000</v>
      </c>
      <c r="J10" s="78">
        <f>'Base Data'!$B$8</f>
        <v>1700000</v>
      </c>
      <c r="K10" s="78">
        <f>'Base Data'!$B$8</f>
        <v>1700000</v>
      </c>
      <c r="L10" s="78">
        <f>'Base Data'!$B$8</f>
        <v>1700000</v>
      </c>
      <c r="M10" s="78">
        <f>'Base Data'!$B$8</f>
        <v>1700000</v>
      </c>
      <c r="N10" s="78">
        <f>'Base Data'!$B$8</f>
        <v>1700000</v>
      </c>
      <c r="O10" s="78">
        <f>'Base Data'!$B$8</f>
        <v>1700000</v>
      </c>
      <c r="P10" s="78">
        <f>'Base Data'!$B$8</f>
        <v>1700000</v>
      </c>
      <c r="S10" s="26" t="s">
        <v>23</v>
      </c>
      <c r="T10" s="55">
        <f t="shared" ref="T10:AE10" si="6">E47</f>
        <v>6654754077.160428</v>
      </c>
      <c r="U10" s="55">
        <f t="shared" si="6"/>
        <v>4636586089.2000008</v>
      </c>
      <c r="V10" s="55">
        <f t="shared" si="6"/>
        <v>6467522553.1692209</v>
      </c>
      <c r="W10" s="55">
        <f t="shared" si="6"/>
        <v>5986378257.1977119</v>
      </c>
      <c r="X10" s="55">
        <f t="shared" si="6"/>
        <v>4311926321.980607</v>
      </c>
      <c r="Y10" s="55">
        <f t="shared" si="6"/>
        <v>7160337362.8800011</v>
      </c>
      <c r="Z10" s="55">
        <f t="shared" si="6"/>
        <v>4833763752.1323166</v>
      </c>
      <c r="AA10" s="55">
        <f t="shared" si="6"/>
        <v>5032930895.9005928</v>
      </c>
      <c r="AB10" s="55">
        <f t="shared" si="6"/>
        <v>3612265792.9710646</v>
      </c>
      <c r="AC10" s="55">
        <f t="shared" si="6"/>
        <v>4291364925.7378964</v>
      </c>
      <c r="AD10" s="55">
        <f t="shared" si="6"/>
        <v>5258536023.033021</v>
      </c>
      <c r="AE10" s="55">
        <f t="shared" si="6"/>
        <v>8047244963.4087238</v>
      </c>
    </row>
    <row r="11" spans="1:31" ht="15" customHeight="1" x14ac:dyDescent="0.35">
      <c r="A11" s="282" t="s">
        <v>64</v>
      </c>
      <c r="B11" s="283"/>
      <c r="C11" s="283"/>
      <c r="D11" s="284"/>
      <c r="E11" s="78">
        <f>SUMIFS('Operation Staff cost'!$E:$E,'Operation Staff cost'!$B:$B,"Room")</f>
        <v>12</v>
      </c>
      <c r="F11" s="78">
        <f>SUMIFS('Operation Staff cost'!$E:$E,'Operation Staff cost'!$B:$B,"Room")</f>
        <v>12</v>
      </c>
      <c r="G11" s="78">
        <f>SUMIFS('Operation Staff cost'!$E:$E,'Operation Staff cost'!$B:$B,"Room")</f>
        <v>12</v>
      </c>
      <c r="H11" s="78">
        <f>SUMIFS('Operation Staff cost'!$E:$E,'Operation Staff cost'!$B:$B,"Room")</f>
        <v>12</v>
      </c>
      <c r="I11" s="78">
        <f>SUMIFS('Operation Staff cost'!$E:$E,'Operation Staff cost'!$B:$B,"Room")</f>
        <v>12</v>
      </c>
      <c r="J11" s="78">
        <f>SUMIFS('Operation Staff cost'!$E:$E,'Operation Staff cost'!$B:$B,"Room")</f>
        <v>12</v>
      </c>
      <c r="K11" s="78">
        <f>SUMIFS('Operation Staff cost'!$E:$E,'Operation Staff cost'!$B:$B,"Room")</f>
        <v>12</v>
      </c>
      <c r="L11" s="78">
        <f>SUMIFS('Operation Staff cost'!$E:$E,'Operation Staff cost'!$B:$B,"Room")</f>
        <v>12</v>
      </c>
      <c r="M11" s="78">
        <f>SUMIFS('Operation Staff cost'!$E:$E,'Operation Staff cost'!$B:$B,"Room")</f>
        <v>12</v>
      </c>
      <c r="N11" s="78">
        <f>SUMIFS('Operation Staff cost'!$E:$E,'Operation Staff cost'!$B:$B,"Room")</f>
        <v>12</v>
      </c>
      <c r="O11" s="78">
        <f>SUMIFS('Operation Staff cost'!$E:$E,'Operation Staff cost'!$B:$B,"Room")</f>
        <v>12</v>
      </c>
      <c r="P11" s="78">
        <f>SUMIFS('Operation Staff cost'!$E:$E,'Operation Staff cost'!$B:$B,"Room")</f>
        <v>12</v>
      </c>
      <c r="S11" s="26" t="s">
        <v>20</v>
      </c>
      <c r="T11" s="55">
        <f t="shared" ref="T11:AE12" si="7">E49</f>
        <v>8873005436.2139034</v>
      </c>
      <c r="U11" s="55">
        <f t="shared" si="7"/>
        <v>6182114785.6000013</v>
      </c>
      <c r="V11" s="55">
        <f t="shared" si="7"/>
        <v>8623363404.2256279</v>
      </c>
      <c r="W11" s="55">
        <f t="shared" si="7"/>
        <v>7981837676.2636156</v>
      </c>
      <c r="X11" s="55">
        <f t="shared" si="7"/>
        <v>5749235095.974143</v>
      </c>
      <c r="Y11" s="55">
        <f t="shared" si="7"/>
        <v>9547116483.8400021</v>
      </c>
      <c r="Z11" s="55">
        <f t="shared" si="7"/>
        <v>6445018336.1764221</v>
      </c>
      <c r="AA11" s="55">
        <f t="shared" si="7"/>
        <v>6710574527.8674574</v>
      </c>
      <c r="AB11" s="55">
        <f t="shared" si="7"/>
        <v>4816354390.628087</v>
      </c>
      <c r="AC11" s="55">
        <f t="shared" si="7"/>
        <v>5721819900.9838629</v>
      </c>
      <c r="AD11" s="55">
        <f t="shared" si="7"/>
        <v>7011381364.0440283</v>
      </c>
      <c r="AE11" s="55">
        <f t="shared" si="7"/>
        <v>10729659951.211632</v>
      </c>
    </row>
    <row r="12" spans="1:31" ht="15" customHeight="1" x14ac:dyDescent="0.35">
      <c r="A12" s="282" t="s">
        <v>65</v>
      </c>
      <c r="B12" s="283"/>
      <c r="C12" s="283"/>
      <c r="D12" s="284"/>
      <c r="E12" s="78">
        <f>SUMIFS('Operation Staff cost'!$E:$E,'Operation Staff cost'!$B:$B,"F&amp;B")</f>
        <v>15</v>
      </c>
      <c r="F12" s="78">
        <f>SUMIFS('Operation Staff cost'!$E:$E,'Operation Staff cost'!$B:$B,"F&amp;B")</f>
        <v>15</v>
      </c>
      <c r="G12" s="78">
        <f>SUMIFS('Operation Staff cost'!$E:$E,'Operation Staff cost'!$B:$B,"F&amp;B")</f>
        <v>15</v>
      </c>
      <c r="H12" s="78">
        <f>SUMIFS('Operation Staff cost'!$E:$E,'Operation Staff cost'!$B:$B,"F&amp;B")</f>
        <v>15</v>
      </c>
      <c r="I12" s="78">
        <f>SUMIFS('Operation Staff cost'!$E:$E,'Operation Staff cost'!$B:$B,"F&amp;B")</f>
        <v>15</v>
      </c>
      <c r="J12" s="78">
        <f>SUMIFS('Operation Staff cost'!$E:$E,'Operation Staff cost'!$B:$B,"F&amp;B")</f>
        <v>15</v>
      </c>
      <c r="K12" s="78">
        <f>SUMIFS('Operation Staff cost'!$E:$E,'Operation Staff cost'!$B:$B,"F&amp;B")</f>
        <v>15</v>
      </c>
      <c r="L12" s="78">
        <f>SUMIFS('Operation Staff cost'!$E:$E,'Operation Staff cost'!$B:$B,"F&amp;B")</f>
        <v>15</v>
      </c>
      <c r="M12" s="78">
        <f>SUMIFS('Operation Staff cost'!$E:$E,'Operation Staff cost'!$B:$B,"F&amp;B")</f>
        <v>15</v>
      </c>
      <c r="N12" s="78">
        <f>SUMIFS('Operation Staff cost'!$E:$E,'Operation Staff cost'!$B:$B,"F&amp;B")</f>
        <v>15</v>
      </c>
      <c r="O12" s="78">
        <f>SUMIFS('Operation Staff cost'!$E:$E,'Operation Staff cost'!$B:$B,"F&amp;B")</f>
        <v>15</v>
      </c>
      <c r="P12" s="78">
        <f>SUMIFS('Operation Staff cost'!$E:$E,'Operation Staff cost'!$B:$B,"F&amp;B")</f>
        <v>15</v>
      </c>
      <c r="S12" s="26" t="s">
        <v>21</v>
      </c>
      <c r="T12" s="55">
        <f t="shared" si="7"/>
        <v>1000000000</v>
      </c>
      <c r="U12" s="55">
        <f t="shared" si="7"/>
        <v>1000000000</v>
      </c>
      <c r="V12" s="55">
        <f t="shared" si="7"/>
        <v>1000000000</v>
      </c>
      <c r="W12" s="55">
        <f t="shared" si="7"/>
        <v>1000000000</v>
      </c>
      <c r="X12" s="55">
        <f t="shared" si="7"/>
        <v>1000000000</v>
      </c>
      <c r="Y12" s="55">
        <f t="shared" si="7"/>
        <v>1000000000</v>
      </c>
      <c r="Z12" s="55">
        <f t="shared" si="7"/>
        <v>1000000000</v>
      </c>
      <c r="AA12" s="55">
        <f t="shared" si="7"/>
        <v>1000000000</v>
      </c>
      <c r="AB12" s="55">
        <f t="shared" si="7"/>
        <v>1000000000</v>
      </c>
      <c r="AC12" s="55">
        <f t="shared" si="7"/>
        <v>1000000000</v>
      </c>
      <c r="AD12" s="55">
        <f t="shared" si="7"/>
        <v>1000000000</v>
      </c>
      <c r="AE12" s="55">
        <f t="shared" si="7"/>
        <v>1000000000</v>
      </c>
    </row>
    <row r="13" spans="1:31" ht="15" customHeight="1" x14ac:dyDescent="0.35">
      <c r="A13" s="282" t="s">
        <v>66</v>
      </c>
      <c r="B13" s="283"/>
      <c r="C13" s="283"/>
      <c r="D13" s="284"/>
      <c r="E13" s="78">
        <f>SUMIFS('Operation Staff cost'!$E:$E,'Operation Staff cost'!$B:$B,"Other Operated Depts")</f>
        <v>2</v>
      </c>
      <c r="F13" s="78">
        <f>SUMIFS('Operation Staff cost'!$E:$E,'Operation Staff cost'!$B:$B,"Other Operated Depts")</f>
        <v>2</v>
      </c>
      <c r="G13" s="78">
        <f>SUMIFS('Operation Staff cost'!$E:$E,'Operation Staff cost'!$B:$B,"Other Operated Depts")</f>
        <v>2</v>
      </c>
      <c r="H13" s="78">
        <f>SUMIFS('Operation Staff cost'!$E:$E,'Operation Staff cost'!$B:$B,"Other Operated Depts")</f>
        <v>2</v>
      </c>
      <c r="I13" s="78">
        <f>SUMIFS('Operation Staff cost'!$E:$E,'Operation Staff cost'!$B:$B,"Other Operated Depts")</f>
        <v>2</v>
      </c>
      <c r="J13" s="78">
        <f>SUMIFS('Operation Staff cost'!$E:$E,'Operation Staff cost'!$B:$B,"Other Operated Depts")</f>
        <v>2</v>
      </c>
      <c r="K13" s="78">
        <f>SUMIFS('Operation Staff cost'!$E:$E,'Operation Staff cost'!$B:$B,"Other Operated Depts")</f>
        <v>2</v>
      </c>
      <c r="L13" s="78">
        <f>SUMIFS('Operation Staff cost'!$E:$E,'Operation Staff cost'!$B:$B,"Other Operated Depts")</f>
        <v>2</v>
      </c>
      <c r="M13" s="78">
        <f>SUMIFS('Operation Staff cost'!$E:$E,'Operation Staff cost'!$B:$B,"Other Operated Depts")</f>
        <v>2</v>
      </c>
      <c r="N13" s="78">
        <f>SUMIFS('Operation Staff cost'!$E:$E,'Operation Staff cost'!$B:$B,"Other Operated Depts")</f>
        <v>2</v>
      </c>
      <c r="O13" s="78">
        <f>SUMIFS('Operation Staff cost'!$E:$E,'Operation Staff cost'!$B:$B,"Other Operated Depts")</f>
        <v>2</v>
      </c>
      <c r="P13" s="78">
        <f>SUMIFS('Operation Staff cost'!$E:$E,'Operation Staff cost'!$B:$B,"Other Operated Depts")</f>
        <v>2</v>
      </c>
      <c r="S13" s="24" t="s">
        <v>38</v>
      </c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</row>
    <row r="14" spans="1:31" ht="15" customHeight="1" x14ac:dyDescent="0.35">
      <c r="A14" s="282" t="s">
        <v>67</v>
      </c>
      <c r="B14" s="283"/>
      <c r="C14" s="283"/>
      <c r="D14" s="284"/>
      <c r="E14" s="78">
        <f>SUMIFS('Operation Staff cost'!$E:$E,'Operation Staff cost'!$B:$B,"Admin&amp;General")</f>
        <v>10</v>
      </c>
      <c r="F14" s="78">
        <f>SUMIFS('Operation Staff cost'!$E:$E,'Operation Staff cost'!$B:$B,"Admin&amp;General")</f>
        <v>10</v>
      </c>
      <c r="G14" s="78">
        <f>SUMIFS('Operation Staff cost'!$E:$E,'Operation Staff cost'!$B:$B,"Admin&amp;General")</f>
        <v>10</v>
      </c>
      <c r="H14" s="78">
        <f>SUMIFS('Operation Staff cost'!$E:$E,'Operation Staff cost'!$B:$B,"Admin&amp;General")</f>
        <v>10</v>
      </c>
      <c r="I14" s="78">
        <f>SUMIFS('Operation Staff cost'!$E:$E,'Operation Staff cost'!$B:$B,"Admin&amp;General")</f>
        <v>10</v>
      </c>
      <c r="J14" s="78">
        <f>SUMIFS('Operation Staff cost'!$E:$E,'Operation Staff cost'!$B:$B,"Admin&amp;General")</f>
        <v>10</v>
      </c>
      <c r="K14" s="78">
        <f>SUMIFS('Operation Staff cost'!$E:$E,'Operation Staff cost'!$B:$B,"Admin&amp;General")</f>
        <v>10</v>
      </c>
      <c r="L14" s="78">
        <f>SUMIFS('Operation Staff cost'!$E:$E,'Operation Staff cost'!$B:$B,"Admin&amp;General")</f>
        <v>10</v>
      </c>
      <c r="M14" s="78">
        <f>SUMIFS('Operation Staff cost'!$E:$E,'Operation Staff cost'!$B:$B,"Admin&amp;General")</f>
        <v>10</v>
      </c>
      <c r="N14" s="78">
        <f>SUMIFS('Operation Staff cost'!$E:$E,'Operation Staff cost'!$B:$B,"Admin&amp;General")</f>
        <v>10</v>
      </c>
      <c r="O14" s="78">
        <f>SUMIFS('Operation Staff cost'!$E:$E,'Operation Staff cost'!$B:$B,"Admin&amp;General")</f>
        <v>10</v>
      </c>
      <c r="P14" s="78">
        <f>SUMIFS('Operation Staff cost'!$E:$E,'Operation Staff cost'!$B:$B,"Admin&amp;General")</f>
        <v>10</v>
      </c>
    </row>
    <row r="15" spans="1:31" ht="13" x14ac:dyDescent="0.35">
      <c r="A15" s="282" t="s">
        <v>68</v>
      </c>
      <c r="B15" s="283"/>
      <c r="C15" s="283"/>
      <c r="D15" s="284"/>
      <c r="E15" s="78">
        <f>'Base Data'!$B$20</f>
        <v>1200000</v>
      </c>
      <c r="F15" s="78">
        <f>'Base Data'!$B$20</f>
        <v>1200000</v>
      </c>
      <c r="G15" s="78">
        <f>'Base Data'!$B$20</f>
        <v>1200000</v>
      </c>
      <c r="H15" s="78">
        <f>'Base Data'!$B$20</f>
        <v>1200000</v>
      </c>
      <c r="I15" s="78">
        <f>'Base Data'!$B$20</f>
        <v>1200000</v>
      </c>
      <c r="J15" s="78">
        <f>'Base Data'!$B$20</f>
        <v>1200000</v>
      </c>
      <c r="K15" s="78">
        <f>'Base Data'!$B$20</f>
        <v>1200000</v>
      </c>
      <c r="L15" s="78">
        <f>'Base Data'!$B$20</f>
        <v>1200000</v>
      </c>
      <c r="M15" s="78">
        <f>'Base Data'!$B$20</f>
        <v>1200000</v>
      </c>
      <c r="N15" s="78">
        <f>'Base Data'!$B$20</f>
        <v>1200000</v>
      </c>
      <c r="O15" s="78">
        <f>'Base Data'!$B$20</f>
        <v>1200000</v>
      </c>
      <c r="P15" s="78">
        <f>'Base Data'!$B$20</f>
        <v>1200000</v>
      </c>
      <c r="S15" s="56"/>
      <c r="T15" s="127"/>
      <c r="U15" s="127"/>
      <c r="V15" s="127"/>
      <c r="W15" s="127"/>
      <c r="X15" s="127"/>
      <c r="Y15" s="127"/>
      <c r="Z15" s="127"/>
    </row>
    <row r="16" spans="1:31" ht="13" x14ac:dyDescent="0.35">
      <c r="A16" s="291" t="s">
        <v>69</v>
      </c>
      <c r="B16" s="292"/>
      <c r="C16" s="292"/>
      <c r="D16" s="293"/>
      <c r="E16" s="83">
        <f>'Base Data'!$B$21</f>
        <v>800000</v>
      </c>
      <c r="F16" s="83">
        <f>'Base Data'!$B$21</f>
        <v>800000</v>
      </c>
      <c r="G16" s="83">
        <f>'Base Data'!$B$21</f>
        <v>800000</v>
      </c>
      <c r="H16" s="83">
        <f>'Base Data'!$B$21</f>
        <v>800000</v>
      </c>
      <c r="I16" s="83">
        <f>'Base Data'!$B$21</f>
        <v>800000</v>
      </c>
      <c r="J16" s="83">
        <f>'Base Data'!$B$21</f>
        <v>800000</v>
      </c>
      <c r="K16" s="83">
        <f>'Base Data'!$B$21</f>
        <v>800000</v>
      </c>
      <c r="L16" s="83">
        <f>'Base Data'!$B$21</f>
        <v>800000</v>
      </c>
      <c r="M16" s="83">
        <f>'Base Data'!$B$21</f>
        <v>800000</v>
      </c>
      <c r="N16" s="83">
        <f>'Base Data'!$B$21</f>
        <v>800000</v>
      </c>
      <c r="O16" s="83">
        <f>'Base Data'!$B$21</f>
        <v>800000</v>
      </c>
      <c r="P16" s="83">
        <f>'Base Data'!$B$21</f>
        <v>800000</v>
      </c>
      <c r="S16" s="56"/>
      <c r="T16" s="127"/>
      <c r="U16" s="127"/>
      <c r="V16" s="127"/>
      <c r="W16" s="127"/>
      <c r="X16" s="127"/>
      <c r="Y16" s="127"/>
      <c r="Z16" s="127"/>
    </row>
    <row r="17" spans="1:26" x14ac:dyDescent="0.35">
      <c r="S17" s="56"/>
      <c r="T17" s="56"/>
      <c r="U17" s="56"/>
      <c r="V17" s="56"/>
      <c r="W17" s="56"/>
      <c r="X17" s="56"/>
      <c r="Y17" s="56"/>
      <c r="Z17" s="56"/>
    </row>
    <row r="18" spans="1:26" x14ac:dyDescent="0.35">
      <c r="A18" s="85" t="s">
        <v>70</v>
      </c>
      <c r="B18" s="72" t="s">
        <v>71</v>
      </c>
      <c r="C18" s="72" t="s">
        <v>72</v>
      </c>
      <c r="D18" s="86" t="s">
        <v>73</v>
      </c>
      <c r="E18" s="61" t="s">
        <v>56</v>
      </c>
      <c r="F18" s="61" t="s">
        <v>158</v>
      </c>
      <c r="G18" s="61" t="s">
        <v>160</v>
      </c>
      <c r="H18" s="61" t="s">
        <v>159</v>
      </c>
      <c r="I18" s="61" t="s">
        <v>161</v>
      </c>
      <c r="J18" s="61" t="s">
        <v>162</v>
      </c>
      <c r="K18" s="61" t="s">
        <v>45</v>
      </c>
      <c r="L18" s="60" t="s">
        <v>46</v>
      </c>
      <c r="M18" s="60" t="s">
        <v>47</v>
      </c>
      <c r="N18" s="60" t="s">
        <v>48</v>
      </c>
      <c r="O18" s="60" t="s">
        <v>49</v>
      </c>
      <c r="P18" s="60" t="s">
        <v>50</v>
      </c>
      <c r="S18" s="56"/>
      <c r="T18" s="56"/>
      <c r="U18" s="56"/>
      <c r="V18" s="56"/>
      <c r="W18" s="56"/>
      <c r="X18" s="56"/>
      <c r="Y18" s="56"/>
      <c r="Z18" s="56"/>
    </row>
    <row r="19" spans="1:26" ht="26" x14ac:dyDescent="0.35">
      <c r="A19" s="288" t="s">
        <v>74</v>
      </c>
      <c r="B19" s="294" t="s">
        <v>75</v>
      </c>
      <c r="C19" s="87" t="s">
        <v>76</v>
      </c>
      <c r="D19" s="87" t="s">
        <v>77</v>
      </c>
      <c r="E19" s="104">
        <f>SUMIFS('Operation Staff cost'!$F:$F,'Operation Staff cost'!$B:$B,"Room")</f>
        <v>5689200000</v>
      </c>
      <c r="F19" s="104">
        <f>SUMIFS('Operation Staff cost'!$F:$F,'Operation Staff cost'!$B:$B,"Room")</f>
        <v>5689200000</v>
      </c>
      <c r="G19" s="104">
        <f>SUMIFS('Operation Staff cost'!$F:$F,'Operation Staff cost'!$B:$B,"Room")</f>
        <v>5689200000</v>
      </c>
      <c r="H19" s="104">
        <f>SUMIFS('Operation Staff cost'!$F:$F,'Operation Staff cost'!$B:$B,"Room")</f>
        <v>5689200000</v>
      </c>
      <c r="I19" s="104">
        <f>SUMIFS('Operation Staff cost'!$F:$F,'Operation Staff cost'!$B:$B,"Room")</f>
        <v>5689200000</v>
      </c>
      <c r="J19" s="104">
        <f>SUMIFS('Operation Staff cost'!$F:$F,'Operation Staff cost'!$B:$B,"Room")</f>
        <v>5689200000</v>
      </c>
      <c r="K19" s="104">
        <f>SUMIFS('Operation Staff cost'!$F:$F,'Operation Staff cost'!$B:$B,"Room")</f>
        <v>5689200000</v>
      </c>
      <c r="L19" s="104">
        <f>SUMIFS('Operation Staff cost'!$F:$F,'Operation Staff cost'!$B:$B,"Room")</f>
        <v>5689200000</v>
      </c>
      <c r="M19" s="104">
        <f>SUMIFS('Operation Staff cost'!$F:$F,'Operation Staff cost'!$B:$B,"Room")</f>
        <v>5689200000</v>
      </c>
      <c r="N19" s="104">
        <f>SUMIFS('Operation Staff cost'!$F:$F,'Operation Staff cost'!$B:$B,"Room")</f>
        <v>5689200000</v>
      </c>
      <c r="O19" s="104">
        <f>SUMIFS('Operation Staff cost'!$F:$F,'Operation Staff cost'!$B:$B,"Room")</f>
        <v>5689200000</v>
      </c>
      <c r="P19" s="104">
        <f>SUMIFS('Operation Staff cost'!$F:$F,'Operation Staff cost'!$B:$B,"Room")</f>
        <v>5689200000</v>
      </c>
    </row>
    <row r="20" spans="1:26" ht="26" x14ac:dyDescent="0.35">
      <c r="A20" s="289"/>
      <c r="B20" s="294"/>
      <c r="C20" s="56" t="s">
        <v>78</v>
      </c>
      <c r="D20" s="56" t="s">
        <v>79</v>
      </c>
      <c r="E20" s="78">
        <f t="shared" ref="E20:J20" si="8">(E11*E15)+(E11*E16)*31</f>
        <v>312000000</v>
      </c>
      <c r="F20" s="78">
        <f t="shared" si="8"/>
        <v>312000000</v>
      </c>
      <c r="G20" s="78">
        <f t="shared" si="8"/>
        <v>312000000</v>
      </c>
      <c r="H20" s="78">
        <f t="shared" si="8"/>
        <v>312000000</v>
      </c>
      <c r="I20" s="78">
        <f t="shared" si="8"/>
        <v>312000000</v>
      </c>
      <c r="J20" s="78">
        <f t="shared" si="8"/>
        <v>312000000</v>
      </c>
      <c r="K20" s="78">
        <f>(K11*K15)+(K11*K16)*30</f>
        <v>302400000</v>
      </c>
      <c r="L20" s="78">
        <f>(L11*L15)+(L11*L16)*30</f>
        <v>302400000</v>
      </c>
      <c r="M20" s="78">
        <f>(M11*M15)+(M11*M16)*30</f>
        <v>302400000</v>
      </c>
      <c r="N20" s="78">
        <f>(N11*N15)+(N11*N16)*30</f>
        <v>302400000</v>
      </c>
      <c r="O20" s="78">
        <f>(O11*O15)+(O11*O16)*30</f>
        <v>302400000</v>
      </c>
      <c r="P20" s="78">
        <f>(P11*P15)+(P11*P16)*29</f>
        <v>292800000</v>
      </c>
    </row>
    <row r="21" spans="1:26" ht="29.25" customHeight="1" x14ac:dyDescent="0.35">
      <c r="A21" s="289"/>
      <c r="B21" s="294"/>
      <c r="C21" s="56" t="s">
        <v>80</v>
      </c>
      <c r="D21" s="56" t="s">
        <v>81</v>
      </c>
      <c r="E21" s="78">
        <f>Sales!B12*'Base Data'!$B$4</f>
        <v>21738863318.724064</v>
      </c>
      <c r="F21" s="78">
        <f>Sales!C12*'Base Data'!$B$4</f>
        <v>15146181224.720005</v>
      </c>
      <c r="G21" s="78">
        <f>Sales!D12*'Base Data'!$B$4</f>
        <v>21127240340.352791</v>
      </c>
      <c r="H21" s="78">
        <f>Sales!E12*'Base Data'!$B$4</f>
        <v>19555502306.84586</v>
      </c>
      <c r="I21" s="78">
        <f>Sales!F12*'Base Data'!$B$4</f>
        <v>14085625985.136652</v>
      </c>
      <c r="J21" s="78">
        <f>Sales!G12*'Base Data'!$B$4</f>
        <v>23390435385.408005</v>
      </c>
      <c r="K21" s="78">
        <f>Sales!H12*'Base Data'!$B$4</f>
        <v>15790294923.632233</v>
      </c>
      <c r="L21" s="78">
        <f>Sales!I12*'Base Data'!$B$4</f>
        <v>16440907593.275272</v>
      </c>
      <c r="M21" s="78">
        <f>Sales!J12*'Base Data'!$B$4</f>
        <v>11800068257.038813</v>
      </c>
      <c r="N21" s="78">
        <f>Sales!K12*'Base Data'!$B$4</f>
        <v>14018458757.410461</v>
      </c>
      <c r="O21" s="78">
        <f>Sales!L12*'Base Data'!$B$4</f>
        <v>17177884341.907871</v>
      </c>
      <c r="P21" s="78">
        <f>Sales!M12*'Base Data'!$B$4</f>
        <v>26287666880.468502</v>
      </c>
    </row>
    <row r="22" spans="1:26" ht="29.25" customHeight="1" x14ac:dyDescent="0.35">
      <c r="A22" s="289"/>
      <c r="B22" s="294"/>
      <c r="C22" s="59" t="s">
        <v>60</v>
      </c>
      <c r="D22" s="56" t="s">
        <v>82</v>
      </c>
      <c r="E22" s="105">
        <f t="shared" ref="E22:P22" si="9">E6*E7</f>
        <v>13438500000</v>
      </c>
      <c r="F22" s="105">
        <f t="shared" si="9"/>
        <v>15019500000</v>
      </c>
      <c r="G22" s="105">
        <f t="shared" si="9"/>
        <v>11766428571.428572</v>
      </c>
      <c r="H22" s="105">
        <f t="shared" si="9"/>
        <v>9023076923.0769215</v>
      </c>
      <c r="I22" s="105">
        <f t="shared" si="9"/>
        <v>9023076923.0769215</v>
      </c>
      <c r="J22" s="105">
        <f t="shared" si="9"/>
        <v>14838869778.86978</v>
      </c>
      <c r="K22" s="105">
        <f t="shared" si="9"/>
        <v>10239230769.230768</v>
      </c>
      <c r="L22" s="105">
        <f t="shared" si="9"/>
        <v>10433587786.259541</v>
      </c>
      <c r="M22" s="105">
        <f t="shared" si="9"/>
        <v>7423891625.6157637</v>
      </c>
      <c r="N22" s="105">
        <f t="shared" si="9"/>
        <v>8152272727.2727289</v>
      </c>
      <c r="O22" s="105">
        <f t="shared" si="9"/>
        <v>7301438848.9208632</v>
      </c>
      <c r="P22" s="105">
        <f t="shared" si="9"/>
        <v>11891457286.432161</v>
      </c>
    </row>
    <row r="23" spans="1:26" ht="36.75" customHeight="1" x14ac:dyDescent="0.35">
      <c r="A23" s="289"/>
      <c r="B23" s="294"/>
      <c r="C23" s="56" t="s">
        <v>83</v>
      </c>
      <c r="D23" s="56" t="s">
        <v>84</v>
      </c>
      <c r="E23" s="105">
        <f t="shared" ref="E23:P23" si="10">E6*E8</f>
        <v>3320100000</v>
      </c>
      <c r="F23" s="105">
        <f t="shared" si="10"/>
        <v>3710700000</v>
      </c>
      <c r="G23" s="105">
        <f t="shared" si="10"/>
        <v>2907000000</v>
      </c>
      <c r="H23" s="105">
        <f t="shared" si="10"/>
        <v>2229230769.2307692</v>
      </c>
      <c r="I23" s="105">
        <f t="shared" si="10"/>
        <v>2229230769.2307692</v>
      </c>
      <c r="J23" s="105">
        <f t="shared" si="10"/>
        <v>3666073710.07371</v>
      </c>
      <c r="K23" s="105">
        <f t="shared" si="10"/>
        <v>2529692307.6923075</v>
      </c>
      <c r="L23" s="105">
        <f t="shared" si="10"/>
        <v>2577709923.6641216</v>
      </c>
      <c r="M23" s="105">
        <f t="shared" si="10"/>
        <v>1834137931.034483</v>
      </c>
      <c r="N23" s="105">
        <f t="shared" si="10"/>
        <v>2014090909.0909095</v>
      </c>
      <c r="O23" s="105">
        <f t="shared" si="10"/>
        <v>1803884892.0863309</v>
      </c>
      <c r="P23" s="105">
        <f t="shared" si="10"/>
        <v>2937889447.2361813</v>
      </c>
    </row>
    <row r="24" spans="1:26" ht="26" x14ac:dyDescent="0.35">
      <c r="A24" s="289"/>
      <c r="B24" s="294"/>
      <c r="C24" s="56" t="s">
        <v>85</v>
      </c>
      <c r="D24" s="56" t="s">
        <v>86</v>
      </c>
      <c r="E24" s="105">
        <f t="shared" ref="E24:P24" si="11">E6*E9</f>
        <v>5122440000</v>
      </c>
      <c r="F24" s="105">
        <f t="shared" si="11"/>
        <v>5725080000</v>
      </c>
      <c r="G24" s="105">
        <f t="shared" si="11"/>
        <v>4485085714.2857141</v>
      </c>
      <c r="H24" s="105">
        <f t="shared" si="11"/>
        <v>3439384615.3846149</v>
      </c>
      <c r="I24" s="105">
        <f t="shared" si="11"/>
        <v>3439384615.3846149</v>
      </c>
      <c r="J24" s="105">
        <f t="shared" si="11"/>
        <v>5656228009.8280096</v>
      </c>
      <c r="K24" s="105">
        <f t="shared" si="11"/>
        <v>3902953846.1538458</v>
      </c>
      <c r="L24" s="105">
        <f t="shared" si="11"/>
        <v>3977038167.938931</v>
      </c>
      <c r="M24" s="105">
        <f t="shared" si="11"/>
        <v>2829812807.8817735</v>
      </c>
      <c r="N24" s="105">
        <f t="shared" si="11"/>
        <v>3107454545.454546</v>
      </c>
      <c r="O24" s="105">
        <f t="shared" si="11"/>
        <v>2783136690.6474819</v>
      </c>
      <c r="P24" s="105">
        <f t="shared" si="11"/>
        <v>4532743718.5929651</v>
      </c>
    </row>
    <row r="25" spans="1:26" ht="26" x14ac:dyDescent="0.35">
      <c r="A25" s="289"/>
      <c r="B25" s="294"/>
      <c r="C25" s="56" t="s">
        <v>87</v>
      </c>
      <c r="D25" s="56" t="s">
        <v>88</v>
      </c>
      <c r="E25" s="105">
        <f t="shared" ref="E25:P25" si="12">E6*E10</f>
        <v>5375400000</v>
      </c>
      <c r="F25" s="105">
        <f t="shared" si="12"/>
        <v>6007800000</v>
      </c>
      <c r="G25" s="105">
        <f t="shared" si="12"/>
        <v>4706571428.5714283</v>
      </c>
      <c r="H25" s="105">
        <f t="shared" si="12"/>
        <v>3609230769.2307687</v>
      </c>
      <c r="I25" s="105">
        <f t="shared" si="12"/>
        <v>3609230769.2307687</v>
      </c>
      <c r="J25" s="105">
        <f t="shared" si="12"/>
        <v>5935547911.5479116</v>
      </c>
      <c r="K25" s="105">
        <f t="shared" si="12"/>
        <v>4095692307.6923075</v>
      </c>
      <c r="L25" s="105">
        <f t="shared" si="12"/>
        <v>4173435114.5038161</v>
      </c>
      <c r="M25" s="105">
        <f t="shared" si="12"/>
        <v>2969556650.2463055</v>
      </c>
      <c r="N25" s="105">
        <f t="shared" si="12"/>
        <v>3260909090.9090915</v>
      </c>
      <c r="O25" s="105">
        <f t="shared" si="12"/>
        <v>2920575539.5683455</v>
      </c>
      <c r="P25" s="105">
        <f t="shared" si="12"/>
        <v>4756582914.5728645</v>
      </c>
    </row>
    <row r="26" spans="1:26" ht="26" x14ac:dyDescent="0.35">
      <c r="A26" s="289"/>
      <c r="B26" s="294"/>
      <c r="C26" s="56" t="s">
        <v>89</v>
      </c>
      <c r="D26" s="56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</row>
    <row r="27" spans="1:26" ht="26" x14ac:dyDescent="0.35">
      <c r="A27" s="289"/>
      <c r="B27" s="294"/>
      <c r="C27" s="56" t="s">
        <v>182</v>
      </c>
      <c r="D27" s="56"/>
      <c r="E27" s="78">
        <v>4500000000</v>
      </c>
      <c r="F27" s="78">
        <v>1500000000</v>
      </c>
      <c r="G27" s="78">
        <v>1500000000</v>
      </c>
      <c r="H27" s="78">
        <v>1500000000</v>
      </c>
      <c r="I27" s="78">
        <v>1500000000</v>
      </c>
      <c r="J27" s="78">
        <v>4500000000</v>
      </c>
      <c r="K27" s="78">
        <v>1500000000</v>
      </c>
      <c r="L27" s="78">
        <v>1500000000</v>
      </c>
      <c r="M27" s="78">
        <v>4500000000</v>
      </c>
      <c r="N27" s="78">
        <v>1500000000</v>
      </c>
      <c r="O27" s="78">
        <v>1500000000</v>
      </c>
      <c r="P27" s="78">
        <v>4500000000</v>
      </c>
    </row>
    <row r="28" spans="1:26" ht="26" x14ac:dyDescent="0.35">
      <c r="A28" s="289"/>
      <c r="B28" s="294"/>
      <c r="C28" s="56" t="s">
        <v>90</v>
      </c>
      <c r="D28" s="56" t="s">
        <v>91</v>
      </c>
      <c r="E28" s="78">
        <v>310000000</v>
      </c>
      <c r="F28" s="78">
        <v>310000000</v>
      </c>
      <c r="G28" s="78">
        <v>310000000</v>
      </c>
      <c r="H28" s="78">
        <v>310000000</v>
      </c>
      <c r="I28" s="78">
        <v>310000000</v>
      </c>
      <c r="J28" s="78">
        <v>310000000</v>
      </c>
      <c r="K28" s="78">
        <v>300000000</v>
      </c>
      <c r="L28" s="78">
        <v>300000000</v>
      </c>
      <c r="M28" s="78">
        <v>300000000</v>
      </c>
      <c r="N28" s="78">
        <v>300000000</v>
      </c>
      <c r="O28" s="78">
        <v>300000000</v>
      </c>
      <c r="P28" s="78">
        <v>290000000</v>
      </c>
    </row>
    <row r="29" spans="1:26" x14ac:dyDescent="0.35">
      <c r="A29" s="289"/>
      <c r="B29" s="294"/>
      <c r="C29" s="93" t="s">
        <v>44</v>
      </c>
      <c r="D29" s="93"/>
      <c r="E29" s="95">
        <f t="shared" ref="E29:P29" si="13">SUM(E19:E28)</f>
        <v>59806503318.72406</v>
      </c>
      <c r="F29" s="95">
        <f t="shared" si="13"/>
        <v>53420461224.720001</v>
      </c>
      <c r="G29" s="95">
        <f t="shared" si="13"/>
        <v>52803526054.638504</v>
      </c>
      <c r="H29" s="95">
        <f t="shared" si="13"/>
        <v>45667625383.768929</v>
      </c>
      <c r="I29" s="95">
        <f t="shared" si="13"/>
        <v>40197749062.059723</v>
      </c>
      <c r="J29" s="95">
        <f t="shared" si="13"/>
        <v>64298354795.727417</v>
      </c>
      <c r="K29" s="95">
        <f t="shared" si="13"/>
        <v>44349464154.401459</v>
      </c>
      <c r="L29" s="95">
        <f t="shared" si="13"/>
        <v>45394278585.641685</v>
      </c>
      <c r="M29" s="95">
        <f t="shared" si="13"/>
        <v>37649067271.817139</v>
      </c>
      <c r="N29" s="95">
        <f t="shared" si="13"/>
        <v>38344786030.137733</v>
      </c>
      <c r="O29" s="95">
        <f t="shared" si="13"/>
        <v>39778520313.13089</v>
      </c>
      <c r="P29" s="96">
        <f t="shared" si="13"/>
        <v>61178340247.302673</v>
      </c>
    </row>
    <row r="30" spans="1:26" ht="26" x14ac:dyDescent="0.35">
      <c r="A30" s="289"/>
      <c r="B30" s="295" t="s">
        <v>92</v>
      </c>
      <c r="C30" s="116" t="s">
        <v>93</v>
      </c>
      <c r="D30" s="87" t="s">
        <v>77</v>
      </c>
      <c r="E30" s="104">
        <f>SUMIFS('Operation Staff cost'!$F:$F,'Operation Staff cost'!$B:$B,"F&amp;B")</f>
        <v>8004150000</v>
      </c>
      <c r="F30" s="104">
        <f>SUMIFS('Operation Staff cost'!$F:$F,'Operation Staff cost'!$B:$B,"F&amp;B")</f>
        <v>8004150000</v>
      </c>
      <c r="G30" s="104">
        <f>SUMIFS('Operation Staff cost'!$F:$F,'Operation Staff cost'!$B:$B,"F&amp;B")</f>
        <v>8004150000</v>
      </c>
      <c r="H30" s="104">
        <f>SUMIFS('Operation Staff cost'!$F:$F,'Operation Staff cost'!$B:$B,"F&amp;B")</f>
        <v>8004150000</v>
      </c>
      <c r="I30" s="104">
        <f>SUMIFS('Operation Staff cost'!$F:$F,'Operation Staff cost'!$B:$B,"F&amp;B")</f>
        <v>8004150000</v>
      </c>
      <c r="J30" s="104">
        <f>SUMIFS('Operation Staff cost'!$F:$F,'Operation Staff cost'!$B:$B,"F&amp;B")</f>
        <v>8004150000</v>
      </c>
      <c r="K30" s="104">
        <f>SUMIFS('Operation Staff cost'!$F:$F,'Operation Staff cost'!$B:$B,"F&amp;B")</f>
        <v>8004150000</v>
      </c>
      <c r="L30" s="104">
        <f>SUMIFS('Operation Staff cost'!$F:$F,'Operation Staff cost'!$B:$B,"F&amp;B")</f>
        <v>8004150000</v>
      </c>
      <c r="M30" s="104">
        <f>SUMIFS('Operation Staff cost'!$F:$F,'Operation Staff cost'!$B:$B,"F&amp;B")</f>
        <v>8004150000</v>
      </c>
      <c r="N30" s="104">
        <f>SUMIFS('Operation Staff cost'!$F:$F,'Operation Staff cost'!$B:$B,"F&amp;B")</f>
        <v>8004150000</v>
      </c>
      <c r="O30" s="104">
        <f>SUMIFS('Operation Staff cost'!$F:$F,'Operation Staff cost'!$B:$B,"F&amp;B")</f>
        <v>8004150000</v>
      </c>
      <c r="P30" s="126">
        <f>SUMIFS('Operation Staff cost'!$F:$F,'Operation Staff cost'!$B:$B,"F&amp;B")</f>
        <v>8004150000</v>
      </c>
    </row>
    <row r="31" spans="1:26" ht="26" x14ac:dyDescent="0.35">
      <c r="A31" s="289"/>
      <c r="B31" s="295"/>
      <c r="C31" s="91" t="s">
        <v>78</v>
      </c>
      <c r="D31" s="56" t="s">
        <v>79</v>
      </c>
      <c r="E31" s="78">
        <f t="shared" ref="E31:J31" si="14">(E12*E15)+(E12*E16)*31</f>
        <v>390000000</v>
      </c>
      <c r="F31" s="78">
        <f t="shared" si="14"/>
        <v>390000000</v>
      </c>
      <c r="G31" s="78">
        <f t="shared" si="14"/>
        <v>390000000</v>
      </c>
      <c r="H31" s="78">
        <f t="shared" si="14"/>
        <v>390000000</v>
      </c>
      <c r="I31" s="78">
        <f t="shared" si="14"/>
        <v>390000000</v>
      </c>
      <c r="J31" s="78">
        <f t="shared" si="14"/>
        <v>390000000</v>
      </c>
      <c r="K31" s="78">
        <f>(K12*K15)+(K12*K16)*30</f>
        <v>378000000</v>
      </c>
      <c r="L31" s="78">
        <f>(L12*L15)+(L12*L16)*30</f>
        <v>378000000</v>
      </c>
      <c r="M31" s="78">
        <f>(M12*M15)+(M12*M16)*30</f>
        <v>378000000</v>
      </c>
      <c r="N31" s="78">
        <f>(N12*N15)+(N12*N16)*30</f>
        <v>378000000</v>
      </c>
      <c r="O31" s="78">
        <f>(O12*O15)+(O12*O16)*30</f>
        <v>378000000</v>
      </c>
      <c r="P31" s="90">
        <f>(P12*P15)+(P12*P16)*29</f>
        <v>366000000</v>
      </c>
    </row>
    <row r="32" spans="1:26" ht="26" x14ac:dyDescent="0.35">
      <c r="A32" s="289"/>
      <c r="B32" s="295"/>
      <c r="C32" s="91" t="s">
        <v>94</v>
      </c>
      <c r="D32" s="56" t="s">
        <v>95</v>
      </c>
      <c r="E32" s="78">
        <f>Sales!$B$16*'Base Data'!$B$15</f>
        <v>13811616000.000004</v>
      </c>
      <c r="F32" s="78">
        <f>Sales!C16*'Base Data'!$B$15</f>
        <v>15436512000.000004</v>
      </c>
      <c r="G32" s="78">
        <f>Sales!D16*'Base Data'!$B$15</f>
        <v>12093120000</v>
      </c>
      <c r="H32" s="78">
        <f>Sales!E16*'Base Data'!$B$15</f>
        <v>9273599999.9999981</v>
      </c>
      <c r="I32" s="78">
        <f>Sales!F16*'Base Data'!$B$15</f>
        <v>9273599999.9999981</v>
      </c>
      <c r="J32" s="78">
        <f>Sales!G16*'Base Data'!$B$15</f>
        <v>15250866633.906635</v>
      </c>
      <c r="K32" s="78">
        <f>Sales!H16*'Base Data'!$B$15</f>
        <v>10523520000</v>
      </c>
      <c r="L32" s="78">
        <f>Sales!I16*'Base Data'!$B$15</f>
        <v>10723273282.442749</v>
      </c>
      <c r="M32" s="78">
        <f>Sales!J16*'Base Data'!$B$15</f>
        <v>7630013793.1034508</v>
      </c>
      <c r="N32" s="78">
        <f>Sales!K16*'Base Data'!$B$15</f>
        <v>8378618181.8181839</v>
      </c>
      <c r="O32" s="78">
        <f>Sales!L16*'Base Data'!$B$15</f>
        <v>7504161151.0791388</v>
      </c>
      <c r="P32" s="90">
        <f>Sales!M16*'Base Data'!$B$15</f>
        <v>12221620100.502516</v>
      </c>
    </row>
    <row r="33" spans="1:16" ht="26" x14ac:dyDescent="0.35">
      <c r="A33" s="289"/>
      <c r="B33" s="295"/>
      <c r="C33" s="91" t="s">
        <v>96</v>
      </c>
      <c r="D33" s="56"/>
      <c r="E33" s="127">
        <f>E6*'Base Data'!$B$14*'Base Data'!$B$15</f>
        <v>986544000</v>
      </c>
      <c r="F33" s="127">
        <f>F6*'Base Data'!$B$14*'Base Data'!$B$15</f>
        <v>1102608000</v>
      </c>
      <c r="G33" s="127">
        <f>G6*'Base Data'!$B$14*'Base Data'!$B$15</f>
        <v>863794285.71428573</v>
      </c>
      <c r="H33" s="127">
        <f>H6*'Base Data'!$B$14*'Base Data'!$B$15</f>
        <v>662400000</v>
      </c>
      <c r="I33" s="127">
        <f>I6*'Base Data'!$B$14*'Base Data'!$B$15</f>
        <v>662400000</v>
      </c>
      <c r="J33" s="127">
        <f>J6*'Base Data'!$B$14*'Base Data'!$B$15</f>
        <v>1089347616.7076166</v>
      </c>
      <c r="K33" s="127">
        <f>K6*'Base Data'!$B$14*'Base Data'!$B$15</f>
        <v>751680000</v>
      </c>
      <c r="L33" s="127">
        <f>L6*'Base Data'!$B$14*'Base Data'!$B$15</f>
        <v>765948091.60305345</v>
      </c>
      <c r="M33" s="127">
        <f>M6*'Base Data'!$B$14*'Base Data'!$B$15</f>
        <v>545000985.22167492</v>
      </c>
      <c r="N33" s="127">
        <f>N6*'Base Data'!$B$14*'Base Data'!$B$15</f>
        <v>598472727.27272737</v>
      </c>
      <c r="O33" s="127">
        <f>O6*'Base Data'!$B$14*'Base Data'!$B$15</f>
        <v>536011510.79136699</v>
      </c>
      <c r="P33" s="90">
        <f>P6*'Base Data'!$B$14*'Base Data'!$B$15</f>
        <v>872972864.32160819</v>
      </c>
    </row>
    <row r="34" spans="1:16" ht="39" x14ac:dyDescent="0.35">
      <c r="A34" s="289"/>
      <c r="B34" s="295"/>
      <c r="C34" s="91" t="s">
        <v>97</v>
      </c>
      <c r="D34" s="56" t="s">
        <v>98</v>
      </c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9"/>
    </row>
    <row r="35" spans="1:16" ht="35.25" customHeight="1" x14ac:dyDescent="0.35">
      <c r="A35" s="289"/>
      <c r="B35" s="295"/>
      <c r="C35" s="91" t="s">
        <v>99</v>
      </c>
      <c r="D35" s="56" t="s">
        <v>84</v>
      </c>
      <c r="E35" s="78">
        <f>Sales!B6*'Base Data'!$B$16</f>
        <v>189720000</v>
      </c>
      <c r="F35" s="78">
        <f>Sales!C6*'Base Data'!$B$16</f>
        <v>212040000</v>
      </c>
      <c r="G35" s="78">
        <f>Sales!D6*'Base Data'!$B$16</f>
        <v>166114285.7142857</v>
      </c>
      <c r="H35" s="78">
        <f>Sales!E6*'Base Data'!$B$16</f>
        <v>127384615.38461538</v>
      </c>
      <c r="I35" s="78">
        <f>Sales!F6*'Base Data'!$B$16</f>
        <v>127384615.38461538</v>
      </c>
      <c r="J35" s="78">
        <f>Sales!G6*'Base Data'!$B$16</f>
        <v>209489926.28992629</v>
      </c>
      <c r="K35" s="78">
        <f>Sales!H6*'Base Data'!$B$16</f>
        <v>144553846.15384614</v>
      </c>
      <c r="L35" s="78">
        <f>Sales!I6*'Base Data'!$B$16</f>
        <v>147297709.92366409</v>
      </c>
      <c r="M35" s="78">
        <f>Sales!J6*'Base Data'!$B$16</f>
        <v>104807881.77339903</v>
      </c>
      <c r="N35" s="78">
        <f>Sales!K6*'Base Data'!$B$16</f>
        <v>115090909.09090911</v>
      </c>
      <c r="O35" s="78">
        <f>Sales!L6*'Base Data'!$B$16</f>
        <v>103079136.69064748</v>
      </c>
      <c r="P35" s="90">
        <f>Sales!M6*'Base Data'!$B$16</f>
        <v>167879396.98492464</v>
      </c>
    </row>
    <row r="36" spans="1:16" ht="43.5" customHeight="1" x14ac:dyDescent="0.35">
      <c r="A36" s="289"/>
      <c r="B36" s="295"/>
      <c r="C36" s="91" t="s">
        <v>100</v>
      </c>
      <c r="D36" s="56" t="s">
        <v>101</v>
      </c>
      <c r="E36" s="56"/>
      <c r="F36" s="56"/>
      <c r="G36" s="56"/>
      <c r="H36" s="56"/>
      <c r="I36" s="56"/>
      <c r="J36" s="75">
        <v>0</v>
      </c>
      <c r="K36" s="75">
        <v>0</v>
      </c>
      <c r="L36" s="75">
        <v>0</v>
      </c>
      <c r="M36" s="75">
        <v>0</v>
      </c>
      <c r="N36" s="75">
        <v>0</v>
      </c>
      <c r="O36" s="75">
        <v>0</v>
      </c>
      <c r="P36" s="76">
        <v>0</v>
      </c>
    </row>
    <row r="37" spans="1:16" ht="40.5" customHeight="1" x14ac:dyDescent="0.35">
      <c r="A37" s="289"/>
      <c r="B37" s="295"/>
      <c r="C37" s="91" t="s">
        <v>102</v>
      </c>
      <c r="D37" s="56"/>
      <c r="E37" s="56"/>
      <c r="F37" s="56"/>
      <c r="G37" s="56"/>
      <c r="H37" s="56"/>
      <c r="I37" s="56"/>
      <c r="J37" s="56"/>
      <c r="K37" s="75"/>
      <c r="L37" s="75"/>
      <c r="M37" s="75"/>
      <c r="N37" s="75"/>
      <c r="O37" s="75"/>
      <c r="P37" s="76"/>
    </row>
    <row r="38" spans="1:16" ht="26" x14ac:dyDescent="0.35">
      <c r="A38" s="289"/>
      <c r="B38" s="295"/>
      <c r="C38" s="91" t="s">
        <v>103</v>
      </c>
      <c r="D38" s="56" t="s">
        <v>104</v>
      </c>
      <c r="E38" s="78">
        <v>200000000</v>
      </c>
      <c r="F38" s="78">
        <v>200000000</v>
      </c>
      <c r="G38" s="78">
        <v>200000000</v>
      </c>
      <c r="H38" s="78">
        <v>200000000</v>
      </c>
      <c r="I38" s="78">
        <v>200000000</v>
      </c>
      <c r="J38" s="78">
        <v>200000000</v>
      </c>
      <c r="K38" s="78">
        <v>200000000</v>
      </c>
      <c r="L38" s="78">
        <v>200000000</v>
      </c>
      <c r="M38" s="78">
        <v>200000000</v>
      </c>
      <c r="N38" s="78">
        <v>200000000</v>
      </c>
      <c r="O38" s="78">
        <v>200000000</v>
      </c>
      <c r="P38" s="90">
        <v>200000000</v>
      </c>
    </row>
    <row r="39" spans="1:16" x14ac:dyDescent="0.35">
      <c r="A39" s="289"/>
      <c r="B39" s="295"/>
      <c r="C39" s="117" t="s">
        <v>44</v>
      </c>
      <c r="D39" s="93"/>
      <c r="E39" s="95">
        <f t="shared" ref="E39:P39" si="15">SUM(E30:E38)</f>
        <v>23582030000.000004</v>
      </c>
      <c r="F39" s="95">
        <f t="shared" si="15"/>
        <v>25345310000.000004</v>
      </c>
      <c r="G39" s="95">
        <f t="shared" si="15"/>
        <v>21717178571.428574</v>
      </c>
      <c r="H39" s="95">
        <f t="shared" si="15"/>
        <v>18657534615.384617</v>
      </c>
      <c r="I39" s="124">
        <f t="shared" si="15"/>
        <v>18657534615.384617</v>
      </c>
      <c r="J39" s="124">
        <f t="shared" si="15"/>
        <v>25143854176.904175</v>
      </c>
      <c r="K39" s="95">
        <f t="shared" si="15"/>
        <v>20001903846.153847</v>
      </c>
      <c r="L39" s="95">
        <f t="shared" si="15"/>
        <v>20218669083.969467</v>
      </c>
      <c r="M39" s="95">
        <f t="shared" si="15"/>
        <v>16861972660.098526</v>
      </c>
      <c r="N39" s="95">
        <f t="shared" si="15"/>
        <v>17674331818.18182</v>
      </c>
      <c r="O39" s="95">
        <f t="shared" si="15"/>
        <v>16725401798.561153</v>
      </c>
      <c r="P39" s="96">
        <f t="shared" si="15"/>
        <v>21832622361.809052</v>
      </c>
    </row>
    <row r="40" spans="1:16" ht="26" x14ac:dyDescent="0.35">
      <c r="A40" s="289"/>
      <c r="B40" s="288" t="s">
        <v>105</v>
      </c>
      <c r="C40" s="87" t="s">
        <v>106</v>
      </c>
      <c r="D40" s="97" t="s">
        <v>101</v>
      </c>
      <c r="E40" s="88">
        <f>SUMIFS('Operation Staff cost'!$F:$F,'Operation Staff cost'!$B:$B,"Other Operated Depts")</f>
        <v>990000000</v>
      </c>
      <c r="F40" s="104">
        <f>SUMIFS('Operation Staff cost'!$F:$F,'Operation Staff cost'!$B:$B,"Other Operated Depts")</f>
        <v>990000000</v>
      </c>
      <c r="G40" s="104">
        <f>SUMIFS('Operation Staff cost'!$F:$F,'Operation Staff cost'!$B:$B,"Other Operated Depts")</f>
        <v>990000000</v>
      </c>
      <c r="H40" s="104">
        <f>SUMIFS('Operation Staff cost'!$F:$F,'Operation Staff cost'!$B:$B,"Other Operated Depts")</f>
        <v>990000000</v>
      </c>
      <c r="I40" s="104">
        <f>SUMIFS('Operation Staff cost'!$F:$F,'Operation Staff cost'!$B:$B,"Other Operated Depts")</f>
        <v>990000000</v>
      </c>
      <c r="J40" s="104">
        <f>SUMIFS('Operation Staff cost'!$F:$F,'Operation Staff cost'!$B:$B,"Other Operated Depts")</f>
        <v>990000000</v>
      </c>
      <c r="K40" s="104">
        <f>SUMIFS('Operation Staff cost'!$F:$F,'Operation Staff cost'!$B:$B,"Other Operated Depts")</f>
        <v>990000000</v>
      </c>
      <c r="L40" s="104">
        <f>SUMIFS('Operation Staff cost'!$F:$F,'Operation Staff cost'!$B:$B,"Other Operated Depts")</f>
        <v>990000000</v>
      </c>
      <c r="M40" s="104">
        <f>SUMIFS('Operation Staff cost'!$F:$F,'Operation Staff cost'!$B:$B,"Other Operated Depts")</f>
        <v>990000000</v>
      </c>
      <c r="N40" s="104">
        <f>SUMIFS('Operation Staff cost'!$F:$F,'Operation Staff cost'!$B:$B,"Other Operated Depts")</f>
        <v>990000000</v>
      </c>
      <c r="O40" s="104">
        <f>SUMIFS('Operation Staff cost'!$F:$F,'Operation Staff cost'!$B:$B,"Other Operated Depts")</f>
        <v>990000000</v>
      </c>
      <c r="P40" s="126">
        <f>SUMIFS('Operation Staff cost'!$F:$F,'Operation Staff cost'!$B:$B,"Other Operated Depts")</f>
        <v>990000000</v>
      </c>
    </row>
    <row r="41" spans="1:16" x14ac:dyDescent="0.35">
      <c r="A41" s="289"/>
      <c r="B41" s="289"/>
      <c r="C41" s="98" t="s">
        <v>107</v>
      </c>
      <c r="D41" s="99"/>
      <c r="E41" s="89">
        <f t="shared" ref="E41:P41" si="16">(E13*E15)+(E13*E16)*31</f>
        <v>52000000</v>
      </c>
      <c r="F41" s="78">
        <f t="shared" si="16"/>
        <v>52000000</v>
      </c>
      <c r="G41" s="78">
        <f t="shared" si="16"/>
        <v>52000000</v>
      </c>
      <c r="H41" s="78">
        <f t="shared" si="16"/>
        <v>52000000</v>
      </c>
      <c r="I41" s="78">
        <f t="shared" si="16"/>
        <v>52000000</v>
      </c>
      <c r="J41" s="78">
        <f t="shared" si="16"/>
        <v>52000000</v>
      </c>
      <c r="K41" s="78">
        <f t="shared" si="16"/>
        <v>52000000</v>
      </c>
      <c r="L41" s="78">
        <f t="shared" si="16"/>
        <v>52000000</v>
      </c>
      <c r="M41" s="78">
        <f t="shared" si="16"/>
        <v>52000000</v>
      </c>
      <c r="N41" s="78">
        <f t="shared" si="16"/>
        <v>52000000</v>
      </c>
      <c r="O41" s="78">
        <f t="shared" si="16"/>
        <v>52000000</v>
      </c>
      <c r="P41" s="90">
        <f t="shared" si="16"/>
        <v>52000000</v>
      </c>
    </row>
    <row r="42" spans="1:16" x14ac:dyDescent="0.35">
      <c r="A42" s="289"/>
      <c r="B42" s="289"/>
      <c r="C42" s="98" t="s">
        <v>108</v>
      </c>
      <c r="D42" s="99"/>
      <c r="E42" s="91"/>
      <c r="F42" s="56"/>
      <c r="G42" s="56"/>
      <c r="H42" s="56"/>
      <c r="I42" s="56"/>
      <c r="J42" s="56"/>
      <c r="K42" s="75"/>
      <c r="L42" s="75"/>
      <c r="M42" s="75"/>
      <c r="N42" s="75"/>
      <c r="O42" s="75"/>
      <c r="P42" s="76"/>
    </row>
    <row r="43" spans="1:16" ht="29" x14ac:dyDescent="0.35">
      <c r="A43" s="289"/>
      <c r="B43" s="289"/>
      <c r="C43" s="98" t="s">
        <v>109</v>
      </c>
      <c r="D43" s="99"/>
      <c r="E43" s="91"/>
      <c r="F43" s="56"/>
      <c r="G43" s="56"/>
      <c r="H43" s="56"/>
      <c r="I43" s="56"/>
      <c r="J43" s="56"/>
      <c r="K43" s="75"/>
      <c r="L43" s="75"/>
      <c r="M43" s="75"/>
      <c r="N43" s="75"/>
      <c r="O43" s="75"/>
      <c r="P43" s="76"/>
    </row>
    <row r="44" spans="1:16" x14ac:dyDescent="0.35">
      <c r="A44" s="289"/>
      <c r="B44" s="289"/>
      <c r="C44" s="98" t="s">
        <v>110</v>
      </c>
      <c r="D44" s="99"/>
      <c r="E44" s="135">
        <v>500000000</v>
      </c>
      <c r="F44" s="79">
        <v>500000000</v>
      </c>
      <c r="G44" s="79">
        <v>500000000</v>
      </c>
      <c r="H44" s="79">
        <v>500000000</v>
      </c>
      <c r="I44" s="79">
        <v>500000000</v>
      </c>
      <c r="J44" s="79">
        <v>500000000</v>
      </c>
      <c r="K44" s="79">
        <v>500000000</v>
      </c>
      <c r="L44" s="79">
        <v>500000000</v>
      </c>
      <c r="M44" s="79">
        <v>500000000</v>
      </c>
      <c r="N44" s="79">
        <v>500000000</v>
      </c>
      <c r="O44" s="79">
        <v>500000000</v>
      </c>
      <c r="P44" s="80">
        <v>500000000</v>
      </c>
    </row>
    <row r="45" spans="1:16" x14ac:dyDescent="0.35">
      <c r="A45" s="290"/>
      <c r="B45" s="290"/>
      <c r="C45" s="93" t="s">
        <v>44</v>
      </c>
      <c r="D45" s="100"/>
      <c r="E45" s="94">
        <f t="shared" ref="E45:P45" si="17">SUM(E40:E44)</f>
        <v>1542000000</v>
      </c>
      <c r="F45" s="95">
        <f t="shared" si="17"/>
        <v>1542000000</v>
      </c>
      <c r="G45" s="95">
        <f t="shared" si="17"/>
        <v>1542000000</v>
      </c>
      <c r="H45" s="95">
        <f t="shared" si="17"/>
        <v>1542000000</v>
      </c>
      <c r="I45" s="95">
        <f t="shared" si="17"/>
        <v>1542000000</v>
      </c>
      <c r="J45" s="95">
        <f t="shared" si="17"/>
        <v>1542000000</v>
      </c>
      <c r="K45" s="95">
        <f t="shared" si="17"/>
        <v>1542000000</v>
      </c>
      <c r="L45" s="95">
        <f t="shared" si="17"/>
        <v>1542000000</v>
      </c>
      <c r="M45" s="95">
        <f t="shared" si="17"/>
        <v>1542000000</v>
      </c>
      <c r="N45" s="95">
        <f t="shared" si="17"/>
        <v>1542000000</v>
      </c>
      <c r="O45" s="95">
        <f t="shared" si="17"/>
        <v>1542000000</v>
      </c>
      <c r="P45" s="96">
        <f t="shared" si="17"/>
        <v>1542000000</v>
      </c>
    </row>
    <row r="46" spans="1:16" ht="13" x14ac:dyDescent="0.35">
      <c r="A46" s="288" t="s">
        <v>111</v>
      </c>
      <c r="B46" s="56" t="s">
        <v>112</v>
      </c>
      <c r="C46" s="56" t="s">
        <v>112</v>
      </c>
      <c r="D46" s="99"/>
      <c r="E46" s="88">
        <f>SUMIFS('Operation Staff cost'!$F:$F,'Operation Staff cost'!$B:$B,"Admin&amp;General")</f>
        <v>4797375000</v>
      </c>
      <c r="F46" s="133">
        <f>SUMIFS('Operation Staff cost'!$F:$F,'Operation Staff cost'!$B:$B,"Admin&amp;General")</f>
        <v>4797375000</v>
      </c>
      <c r="G46" s="133">
        <f>SUMIFS('Operation Staff cost'!$F:$F,'Operation Staff cost'!$B:$B,"Admin&amp;General")</f>
        <v>4797375000</v>
      </c>
      <c r="H46" s="133">
        <f>SUMIFS('Operation Staff cost'!$F:$F,'Operation Staff cost'!$B:$B,"Admin&amp;General")</f>
        <v>4797375000</v>
      </c>
      <c r="I46" s="133">
        <f>SUMIFS('Operation Staff cost'!$F:$F,'Operation Staff cost'!$B:$B,"Admin&amp;General")</f>
        <v>4797375000</v>
      </c>
      <c r="J46" s="133">
        <f>SUMIFS('Operation Staff cost'!$F:$F,'Operation Staff cost'!$B:$B,"Admin&amp;General")</f>
        <v>4797375000</v>
      </c>
      <c r="K46" s="133">
        <f>SUMIFS('Operation Staff cost'!$F:$F,'Operation Staff cost'!$B:$B,"Admin&amp;General")</f>
        <v>4797375000</v>
      </c>
      <c r="L46" s="133">
        <f>SUMIFS('Operation Staff cost'!$F:$F,'Operation Staff cost'!$B:$B,"Admin&amp;General")</f>
        <v>4797375000</v>
      </c>
      <c r="M46" s="133">
        <f>SUMIFS('Operation Staff cost'!$F:$F,'Operation Staff cost'!$B:$B,"Admin&amp;General")</f>
        <v>4797375000</v>
      </c>
      <c r="N46" s="133">
        <f>SUMIFS('Operation Staff cost'!$F:$F,'Operation Staff cost'!$B:$B,"Admin&amp;General")</f>
        <v>4797375000</v>
      </c>
      <c r="O46" s="133">
        <f>SUMIFS('Operation Staff cost'!$F:$F,'Operation Staff cost'!$B:$B,"Admin&amp;General")</f>
        <v>4797375000</v>
      </c>
      <c r="P46" s="134">
        <f>SUMIFS('Operation Staff cost'!$F:$F,'Operation Staff cost'!$B:$B,"Admin&amp;General")</f>
        <v>4797375000</v>
      </c>
    </row>
    <row r="47" spans="1:16" x14ac:dyDescent="0.35">
      <c r="A47" s="289"/>
      <c r="B47" s="132" t="s">
        <v>113</v>
      </c>
      <c r="C47" s="132" t="s">
        <v>113</v>
      </c>
      <c r="D47" s="99"/>
      <c r="E47" s="89">
        <f>Sales!B10*'Base Data'!$B$18</f>
        <v>6654754077.160428</v>
      </c>
      <c r="F47" s="127">
        <f>Sales!C10*'Base Data'!$B$18</f>
        <v>4636586089.2000008</v>
      </c>
      <c r="G47" s="127">
        <f>Sales!D10*'Base Data'!$B$18</f>
        <v>6467522553.1692209</v>
      </c>
      <c r="H47" s="127">
        <f>Sales!E10*'Base Data'!$B$18</f>
        <v>5986378257.1977119</v>
      </c>
      <c r="I47" s="127">
        <f>Sales!F10*'Base Data'!$B$18</f>
        <v>4311926321.980607</v>
      </c>
      <c r="J47" s="127">
        <f>Sales!G10*'Base Data'!$B$18</f>
        <v>7160337362.8800011</v>
      </c>
      <c r="K47" s="127">
        <f>Sales!H10*'Base Data'!$B$18</f>
        <v>4833763752.1323166</v>
      </c>
      <c r="L47" s="127">
        <f>Sales!I10*'Base Data'!$B$18</f>
        <v>5032930895.9005928</v>
      </c>
      <c r="M47" s="127">
        <f>Sales!J10*'Base Data'!$B$18</f>
        <v>3612265792.9710646</v>
      </c>
      <c r="N47" s="127">
        <f>Sales!K10*'Base Data'!$B$18</f>
        <v>4291364925.7378964</v>
      </c>
      <c r="O47" s="127">
        <f>Sales!L10*'Base Data'!$B$18</f>
        <v>5258536023.033021</v>
      </c>
      <c r="P47" s="92">
        <f>Sales!M10*'Base Data'!$B$18</f>
        <v>8047244963.4087238</v>
      </c>
    </row>
    <row r="48" spans="1:16" ht="13" x14ac:dyDescent="0.35">
      <c r="A48" s="289"/>
      <c r="B48" s="56" t="s">
        <v>24</v>
      </c>
      <c r="C48" s="56" t="s">
        <v>24</v>
      </c>
      <c r="D48" s="99" t="s">
        <v>114</v>
      </c>
      <c r="E48" s="89">
        <v>400000000</v>
      </c>
      <c r="F48" s="127">
        <f t="shared" ref="F48:P48" si="18">E48</f>
        <v>400000000</v>
      </c>
      <c r="G48" s="127">
        <f t="shared" si="18"/>
        <v>400000000</v>
      </c>
      <c r="H48" s="127">
        <f t="shared" si="18"/>
        <v>400000000</v>
      </c>
      <c r="I48" s="127">
        <f t="shared" si="18"/>
        <v>400000000</v>
      </c>
      <c r="J48" s="127">
        <f t="shared" si="18"/>
        <v>400000000</v>
      </c>
      <c r="K48" s="127">
        <f t="shared" si="18"/>
        <v>400000000</v>
      </c>
      <c r="L48" s="127">
        <f t="shared" si="18"/>
        <v>400000000</v>
      </c>
      <c r="M48" s="127">
        <f t="shared" si="18"/>
        <v>400000000</v>
      </c>
      <c r="N48" s="127">
        <f t="shared" si="18"/>
        <v>400000000</v>
      </c>
      <c r="O48" s="127">
        <f t="shared" si="18"/>
        <v>400000000</v>
      </c>
      <c r="P48" s="92">
        <f t="shared" si="18"/>
        <v>400000000</v>
      </c>
    </row>
    <row r="49" spans="1:16" ht="13" x14ac:dyDescent="0.35">
      <c r="A49" s="289"/>
      <c r="B49" s="56" t="s">
        <v>20</v>
      </c>
      <c r="C49" s="56" t="s">
        <v>20</v>
      </c>
      <c r="D49" s="99" t="s">
        <v>115</v>
      </c>
      <c r="E49" s="89">
        <f>Sales!B10*'Base Data'!$B$22</f>
        <v>8873005436.2139034</v>
      </c>
      <c r="F49" s="127">
        <f>Sales!C10*'Base Data'!$B$22</f>
        <v>6182114785.6000013</v>
      </c>
      <c r="G49" s="127">
        <f>Sales!D10*'Base Data'!$B$22</f>
        <v>8623363404.2256279</v>
      </c>
      <c r="H49" s="127">
        <f>Sales!E10*'Base Data'!$B$22</f>
        <v>7981837676.2636156</v>
      </c>
      <c r="I49" s="127">
        <f>Sales!F10*'Base Data'!$B$22</f>
        <v>5749235095.974143</v>
      </c>
      <c r="J49" s="127">
        <f>Sales!G10*'Base Data'!$B$22</f>
        <v>9547116483.8400021</v>
      </c>
      <c r="K49" s="127">
        <f>Sales!H10*'Base Data'!$B$22</f>
        <v>6445018336.1764221</v>
      </c>
      <c r="L49" s="127">
        <f>Sales!I10*'Base Data'!$B$22</f>
        <v>6710574527.8674574</v>
      </c>
      <c r="M49" s="127">
        <f>Sales!J10*'Base Data'!$B$22</f>
        <v>4816354390.628087</v>
      </c>
      <c r="N49" s="127">
        <f>Sales!K10*'Base Data'!$B$22</f>
        <v>5721819900.9838629</v>
      </c>
      <c r="O49" s="127">
        <f>Sales!L10*'Base Data'!$B$22</f>
        <v>7011381364.0440283</v>
      </c>
      <c r="P49" s="92">
        <f>Sales!M10*'Base Data'!$B$22</f>
        <v>10729659951.211632</v>
      </c>
    </row>
    <row r="50" spans="1:16" ht="13" x14ac:dyDescent="0.35">
      <c r="A50" s="290"/>
      <c r="B50" s="101" t="s">
        <v>116</v>
      </c>
      <c r="C50" s="101" t="s">
        <v>116</v>
      </c>
      <c r="D50" s="102" t="s">
        <v>117</v>
      </c>
      <c r="E50" s="233">
        <v>1000000000</v>
      </c>
      <c r="F50" s="130">
        <f t="shared" ref="F50:P50" si="19">E50</f>
        <v>1000000000</v>
      </c>
      <c r="G50" s="130">
        <f t="shared" si="19"/>
        <v>1000000000</v>
      </c>
      <c r="H50" s="130">
        <f t="shared" si="19"/>
        <v>1000000000</v>
      </c>
      <c r="I50" s="130">
        <f t="shared" si="19"/>
        <v>1000000000</v>
      </c>
      <c r="J50" s="130">
        <f t="shared" si="19"/>
        <v>1000000000</v>
      </c>
      <c r="K50" s="130">
        <f t="shared" si="19"/>
        <v>1000000000</v>
      </c>
      <c r="L50" s="130">
        <f t="shared" si="19"/>
        <v>1000000000</v>
      </c>
      <c r="M50" s="130">
        <f t="shared" si="19"/>
        <v>1000000000</v>
      </c>
      <c r="N50" s="130">
        <f t="shared" si="19"/>
        <v>1000000000</v>
      </c>
      <c r="O50" s="130">
        <f t="shared" si="19"/>
        <v>1000000000</v>
      </c>
      <c r="P50" s="131">
        <f t="shared" si="19"/>
        <v>1000000000</v>
      </c>
    </row>
    <row r="55" spans="1:16" x14ac:dyDescent="0.35">
      <c r="B55" s="103"/>
    </row>
  </sheetData>
  <mergeCells count="21">
    <mergeCell ref="A46:A50"/>
    <mergeCell ref="A14:D14"/>
    <mergeCell ref="A15:D15"/>
    <mergeCell ref="A16:D16"/>
    <mergeCell ref="A19:A45"/>
    <mergeCell ref="B19:B29"/>
    <mergeCell ref="B30:B39"/>
    <mergeCell ref="B40:B45"/>
    <mergeCell ref="A13:D13"/>
    <mergeCell ref="A1:D1"/>
    <mergeCell ref="A2:D2"/>
    <mergeCell ref="A3:D3"/>
    <mergeCell ref="A4:D4"/>
    <mergeCell ref="A5:D5"/>
    <mergeCell ref="A7:D7"/>
    <mergeCell ref="A8:D8"/>
    <mergeCell ref="A9:D9"/>
    <mergeCell ref="A10:D10"/>
    <mergeCell ref="A11:D11"/>
    <mergeCell ref="A12:D12"/>
    <mergeCell ref="A6:D6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5FA55-E6FA-4D84-98C3-9524C304FAFF}">
  <dimension ref="A1:G15"/>
  <sheetViews>
    <sheetView workbookViewId="0">
      <selection activeCell="A3" sqref="A3:A14"/>
    </sheetView>
  </sheetViews>
  <sheetFormatPr defaultRowHeight="14.5" x14ac:dyDescent="0.35"/>
  <cols>
    <col min="2" max="2" width="19.453125" bestFit="1" customWidth="1"/>
    <col min="3" max="3" width="11.54296875" bestFit="1" customWidth="1"/>
    <col min="4" max="4" width="13" customWidth="1"/>
    <col min="5" max="5" width="5.6328125" bestFit="1" customWidth="1"/>
    <col min="6" max="6" width="14.54296875" bestFit="1" customWidth="1"/>
  </cols>
  <sheetData>
    <row r="1" spans="1:7" ht="17" x14ac:dyDescent="0.35">
      <c r="A1" s="107" t="s">
        <v>144</v>
      </c>
      <c r="B1" s="107" t="s">
        <v>145</v>
      </c>
      <c r="C1" s="107" t="s">
        <v>146</v>
      </c>
      <c r="D1" s="108" t="s">
        <v>177</v>
      </c>
      <c r="E1" s="108" t="s">
        <v>175</v>
      </c>
      <c r="F1" s="108" t="s">
        <v>176</v>
      </c>
      <c r="G1" s="109" t="s">
        <v>147</v>
      </c>
    </row>
    <row r="2" spans="1:7" x14ac:dyDescent="0.35">
      <c r="A2" s="110" t="s">
        <v>318</v>
      </c>
      <c r="B2" s="110" t="s">
        <v>112</v>
      </c>
      <c r="C2" s="110" t="s">
        <v>148</v>
      </c>
      <c r="D2" s="190">
        <v>710000000</v>
      </c>
      <c r="E2" s="191">
        <v>1</v>
      </c>
      <c r="F2" s="111">
        <f>E2*D2*'Base Data'!$B$19</f>
        <v>1171500000</v>
      </c>
    </row>
    <row r="3" spans="1:7" x14ac:dyDescent="0.35">
      <c r="A3" s="110" t="s">
        <v>318</v>
      </c>
      <c r="B3" s="110" t="s">
        <v>112</v>
      </c>
      <c r="C3" t="s">
        <v>178</v>
      </c>
      <c r="D3" s="201">
        <v>229500000.00000003</v>
      </c>
      <c r="E3" s="191">
        <v>5</v>
      </c>
      <c r="F3" s="111">
        <f>E3*D3*'Base Data'!$B$19</f>
        <v>1893375000.0000002</v>
      </c>
    </row>
    <row r="4" spans="1:7" x14ac:dyDescent="0.35">
      <c r="A4" s="110" t="s">
        <v>318</v>
      </c>
      <c r="B4" s="110" t="s">
        <v>112</v>
      </c>
      <c r="C4" t="s">
        <v>179</v>
      </c>
      <c r="D4" s="201">
        <v>235000000</v>
      </c>
      <c r="E4" s="191">
        <v>3</v>
      </c>
      <c r="F4" s="111">
        <f>E4*D4*'Base Data'!$B$19</f>
        <v>1163250000</v>
      </c>
    </row>
    <row r="5" spans="1:7" x14ac:dyDescent="0.35">
      <c r="A5" s="110" t="s">
        <v>318</v>
      </c>
      <c r="B5" s="110" t="s">
        <v>112</v>
      </c>
      <c r="C5" t="s">
        <v>315</v>
      </c>
      <c r="D5" s="201">
        <v>345000000</v>
      </c>
      <c r="E5" s="191">
        <v>1</v>
      </c>
      <c r="F5" s="111">
        <f>E5*D5*'Base Data'!$B$19</f>
        <v>569250000</v>
      </c>
    </row>
    <row r="6" spans="1:7" x14ac:dyDescent="0.35">
      <c r="A6" s="110" t="s">
        <v>318</v>
      </c>
      <c r="B6" s="110" t="s">
        <v>75</v>
      </c>
      <c r="C6" s="110" t="s">
        <v>153</v>
      </c>
      <c r="D6" s="201">
        <v>332000000</v>
      </c>
      <c r="E6" s="191">
        <v>4</v>
      </c>
      <c r="F6" s="111">
        <f>E6*D6*'Base Data'!$B$19</f>
        <v>2191200000</v>
      </c>
    </row>
    <row r="7" spans="1:7" x14ac:dyDescent="0.35">
      <c r="A7" s="110" t="s">
        <v>318</v>
      </c>
      <c r="B7" s="110" t="s">
        <v>75</v>
      </c>
      <c r="C7" s="110" t="s">
        <v>155</v>
      </c>
      <c r="D7" s="201">
        <v>265000000</v>
      </c>
      <c r="E7" s="191">
        <v>6</v>
      </c>
      <c r="F7" s="111">
        <f>E7*D7*'Base Data'!$B$19</f>
        <v>2623500000</v>
      </c>
    </row>
    <row r="8" spans="1:7" x14ac:dyDescent="0.35">
      <c r="A8" s="110" t="s">
        <v>318</v>
      </c>
      <c r="B8" s="110" t="s">
        <v>75</v>
      </c>
      <c r="C8" s="110" t="s">
        <v>154</v>
      </c>
      <c r="D8" s="201">
        <v>265000000</v>
      </c>
      <c r="E8" s="191">
        <v>2</v>
      </c>
      <c r="F8" s="111">
        <f>E8*D8*'Base Data'!$B$19</f>
        <v>874500000</v>
      </c>
    </row>
    <row r="9" spans="1:7" x14ac:dyDescent="0.35">
      <c r="A9" s="110" t="s">
        <v>318</v>
      </c>
      <c r="B9" s="110" t="s">
        <v>92</v>
      </c>
      <c r="C9" s="110" t="s">
        <v>149</v>
      </c>
      <c r="D9" s="201">
        <v>650000000</v>
      </c>
      <c r="E9" s="191">
        <v>2</v>
      </c>
      <c r="F9" s="111">
        <f>E9*D9*'Base Data'!$B$19</f>
        <v>2145000000</v>
      </c>
    </row>
    <row r="10" spans="1:7" x14ac:dyDescent="0.35">
      <c r="A10" s="110" t="s">
        <v>318</v>
      </c>
      <c r="B10" s="110" t="s">
        <v>92</v>
      </c>
      <c r="C10" s="110" t="s">
        <v>150</v>
      </c>
      <c r="D10" s="201">
        <v>405000000</v>
      </c>
      <c r="E10" s="192">
        <v>3</v>
      </c>
      <c r="F10" s="111">
        <f>E10*D10*'Base Data'!$B$19</f>
        <v>2004750000</v>
      </c>
    </row>
    <row r="11" spans="1:7" x14ac:dyDescent="0.35">
      <c r="A11" s="110" t="s">
        <v>318</v>
      </c>
      <c r="B11" s="110" t="s">
        <v>92</v>
      </c>
      <c r="C11" s="110" t="s">
        <v>151</v>
      </c>
      <c r="D11" s="201">
        <v>250000000</v>
      </c>
      <c r="E11" s="192">
        <v>3</v>
      </c>
      <c r="F11" s="111">
        <f>E11*D11*'Base Data'!$B$19</f>
        <v>1237500000</v>
      </c>
    </row>
    <row r="12" spans="1:7" x14ac:dyDescent="0.35">
      <c r="A12" s="110" t="s">
        <v>318</v>
      </c>
      <c r="B12" s="110" t="s">
        <v>92</v>
      </c>
      <c r="C12" s="110" t="s">
        <v>152</v>
      </c>
      <c r="D12" s="201">
        <v>230000000</v>
      </c>
      <c r="E12" s="192">
        <v>3</v>
      </c>
      <c r="F12" s="111">
        <f>E12*D12*'Base Data'!$B$19</f>
        <v>1138500000</v>
      </c>
    </row>
    <row r="13" spans="1:7" x14ac:dyDescent="0.35">
      <c r="A13" s="110" t="s">
        <v>318</v>
      </c>
      <c r="B13" s="110" t="s">
        <v>92</v>
      </c>
      <c r="C13" s="110" t="s">
        <v>156</v>
      </c>
      <c r="D13" s="201">
        <v>224000000</v>
      </c>
      <c r="E13" s="192">
        <v>4</v>
      </c>
      <c r="F13" s="111">
        <f>E13*D13*'Base Data'!$B$19</f>
        <v>1478400000</v>
      </c>
    </row>
    <row r="14" spans="1:7" x14ac:dyDescent="0.35">
      <c r="A14" s="110" t="s">
        <v>318</v>
      </c>
      <c r="B14" t="s">
        <v>105</v>
      </c>
      <c r="C14" s="110" t="s">
        <v>280</v>
      </c>
      <c r="D14" s="201">
        <v>300000000</v>
      </c>
      <c r="E14" s="192">
        <v>2</v>
      </c>
      <c r="F14" s="111">
        <f>E14*D14*'Base Data'!$B$19</f>
        <v>990000000</v>
      </c>
    </row>
    <row r="15" spans="1:7" x14ac:dyDescent="0.35">
      <c r="E15" s="118">
        <f>SUM(E2:E14)</f>
        <v>39</v>
      </c>
      <c r="F15" s="118">
        <f>SUM(F2:F14)</f>
        <v>19480725000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B72E4-EB72-42D9-8A6C-9B8A30CC5520}">
  <dimension ref="A1:H33"/>
  <sheetViews>
    <sheetView workbookViewId="0">
      <selection activeCell="D17" sqref="D17:D27"/>
    </sheetView>
  </sheetViews>
  <sheetFormatPr defaultRowHeight="14.5" x14ac:dyDescent="0.35"/>
  <cols>
    <col min="1" max="1" width="24.1796875" bestFit="1" customWidth="1"/>
    <col min="2" max="2" width="27.6328125" customWidth="1"/>
    <col min="3" max="3" width="19.453125" bestFit="1" customWidth="1"/>
    <col min="4" max="4" width="17.36328125" bestFit="1" customWidth="1"/>
    <col min="5" max="5" width="14.26953125" customWidth="1"/>
    <col min="6" max="6" width="11" customWidth="1"/>
    <col min="7" max="7" width="15.26953125" customWidth="1"/>
  </cols>
  <sheetData>
    <row r="1" spans="1:8" x14ac:dyDescent="0.35">
      <c r="D1" s="113" t="s">
        <v>49</v>
      </c>
      <c r="E1" s="113" t="s">
        <v>50</v>
      </c>
      <c r="F1" s="113" t="s">
        <v>56</v>
      </c>
      <c r="G1" s="113" t="s">
        <v>158</v>
      </c>
      <c r="H1" s="113" t="s">
        <v>160</v>
      </c>
    </row>
    <row r="2" spans="1:8" x14ac:dyDescent="0.35">
      <c r="A2" s="151" t="s">
        <v>135</v>
      </c>
      <c r="B2" s="145" t="s">
        <v>136</v>
      </c>
      <c r="C2" s="152"/>
      <c r="D2" s="202">
        <f>D30</f>
        <v>39168000000</v>
      </c>
      <c r="E2" s="6"/>
      <c r="F2" s="6"/>
      <c r="G2" s="6"/>
      <c r="H2" s="6"/>
    </row>
    <row r="3" spans="1:8" x14ac:dyDescent="0.35">
      <c r="A3" s="153" t="s">
        <v>137</v>
      </c>
      <c r="B3" s="147" t="s">
        <v>138</v>
      </c>
      <c r="C3" s="154"/>
      <c r="D3" s="202">
        <v>15000000000</v>
      </c>
      <c r="E3" s="6"/>
      <c r="F3" s="6"/>
      <c r="G3" s="6"/>
      <c r="H3" s="6"/>
    </row>
    <row r="4" spans="1:8" ht="24" x14ac:dyDescent="0.35">
      <c r="A4" s="155" t="s">
        <v>129</v>
      </c>
      <c r="B4" s="147" t="s">
        <v>278</v>
      </c>
      <c r="C4" s="154"/>
      <c r="D4" s="202">
        <v>28000000000</v>
      </c>
      <c r="E4" s="6"/>
      <c r="F4" s="6"/>
      <c r="G4" s="6"/>
      <c r="H4" s="6"/>
    </row>
    <row r="5" spans="1:8" x14ac:dyDescent="0.35">
      <c r="A5" s="153" t="s">
        <v>139</v>
      </c>
      <c r="B5" s="147" t="s">
        <v>140</v>
      </c>
      <c r="C5" s="154"/>
      <c r="D5" s="202">
        <f>SUM('Operation Staff cost'!F2:F14)</f>
        <v>19480725000</v>
      </c>
      <c r="E5" s="6"/>
      <c r="F5" s="6"/>
      <c r="G5" s="6"/>
      <c r="H5" s="6"/>
    </row>
    <row r="6" spans="1:8" x14ac:dyDescent="0.35">
      <c r="A6" s="153" t="s">
        <v>141</v>
      </c>
      <c r="B6" s="147" t="s">
        <v>142</v>
      </c>
      <c r="C6" s="154"/>
      <c r="D6" s="202">
        <v>4500000000</v>
      </c>
      <c r="E6" s="6"/>
      <c r="F6" s="6"/>
      <c r="G6" s="6"/>
      <c r="H6" s="6"/>
    </row>
    <row r="7" spans="1:8" x14ac:dyDescent="0.35">
      <c r="A7" s="153" t="s">
        <v>143</v>
      </c>
      <c r="B7" s="147"/>
      <c r="C7" s="154"/>
      <c r="D7" s="202">
        <v>4000000000</v>
      </c>
      <c r="E7" s="6"/>
      <c r="F7" s="6"/>
      <c r="G7" s="6"/>
      <c r="H7" s="6"/>
    </row>
    <row r="8" spans="1:8" x14ac:dyDescent="0.35">
      <c r="A8" s="155" t="s">
        <v>134</v>
      </c>
      <c r="B8" s="147"/>
      <c r="C8" s="154"/>
      <c r="D8" s="202">
        <f>SUM(D2:D7)*10%</f>
        <v>11014872500</v>
      </c>
      <c r="E8" s="6"/>
      <c r="F8" s="6"/>
      <c r="G8" s="6"/>
      <c r="H8" s="6"/>
    </row>
    <row r="9" spans="1:8" x14ac:dyDescent="0.35">
      <c r="A9" s="156" t="s">
        <v>44</v>
      </c>
      <c r="B9" s="149"/>
      <c r="C9" s="157"/>
      <c r="D9" s="186">
        <f>SUM(D2:D8)</f>
        <v>121163597500</v>
      </c>
      <c r="E9" s="186">
        <f t="shared" ref="E9:H9" si="0">SUM(E2:E8)</f>
        <v>0</v>
      </c>
      <c r="F9" s="186">
        <f t="shared" si="0"/>
        <v>0</v>
      </c>
      <c r="G9" s="186">
        <f t="shared" si="0"/>
        <v>0</v>
      </c>
      <c r="H9" s="186">
        <f t="shared" si="0"/>
        <v>0</v>
      </c>
    </row>
    <row r="15" spans="1:8" x14ac:dyDescent="0.35">
      <c r="A15" s="296" t="s">
        <v>272</v>
      </c>
      <c r="B15" s="297"/>
      <c r="C15" s="297"/>
      <c r="D15" s="298"/>
    </row>
    <row r="16" spans="1:8" x14ac:dyDescent="0.35">
      <c r="A16" s="225" t="s">
        <v>271</v>
      </c>
      <c r="B16" s="226" t="s">
        <v>270</v>
      </c>
      <c r="C16" s="225" t="s">
        <v>269</v>
      </c>
      <c r="D16" s="225" t="s">
        <v>279</v>
      </c>
    </row>
    <row r="17" spans="1:4" x14ac:dyDescent="0.35">
      <c r="A17" s="222" t="s">
        <v>268</v>
      </c>
      <c r="B17" s="223">
        <v>5200000</v>
      </c>
      <c r="C17" s="222" t="s">
        <v>262</v>
      </c>
      <c r="D17" s="224">
        <f>B17*1.6</f>
        <v>8320000</v>
      </c>
    </row>
    <row r="18" spans="1:4" x14ac:dyDescent="0.35">
      <c r="A18" s="222" t="s">
        <v>267</v>
      </c>
      <c r="B18" s="223">
        <v>8900000</v>
      </c>
      <c r="C18" s="222" t="s">
        <v>255</v>
      </c>
      <c r="D18" s="224">
        <f t="shared" ref="D18:D27" si="1">B18*1.6</f>
        <v>14240000</v>
      </c>
    </row>
    <row r="19" spans="1:4" x14ac:dyDescent="0.35">
      <c r="A19" s="222" t="s">
        <v>266</v>
      </c>
      <c r="B19" s="223">
        <v>2800000</v>
      </c>
      <c r="C19" s="222" t="s">
        <v>262</v>
      </c>
      <c r="D19" s="224">
        <f t="shared" si="1"/>
        <v>4480000</v>
      </c>
    </row>
    <row r="20" spans="1:4" x14ac:dyDescent="0.35">
      <c r="A20" s="222" t="s">
        <v>265</v>
      </c>
      <c r="B20" s="223">
        <v>8000000</v>
      </c>
      <c r="C20" s="222" t="s">
        <v>255</v>
      </c>
      <c r="D20" s="224">
        <f t="shared" si="1"/>
        <v>12800000</v>
      </c>
    </row>
    <row r="21" spans="1:4" x14ac:dyDescent="0.35">
      <c r="A21" s="222" t="s">
        <v>264</v>
      </c>
      <c r="B21" s="223">
        <v>7000000</v>
      </c>
      <c r="C21" s="222" t="s">
        <v>262</v>
      </c>
      <c r="D21" s="224">
        <f t="shared" si="1"/>
        <v>11200000</v>
      </c>
    </row>
    <row r="22" spans="1:4" x14ac:dyDescent="0.35">
      <c r="A22" s="222" t="s">
        <v>263</v>
      </c>
      <c r="B22" s="223">
        <v>5000000</v>
      </c>
      <c r="C22" s="222" t="s">
        <v>262</v>
      </c>
      <c r="D22" s="224">
        <f t="shared" si="1"/>
        <v>8000000</v>
      </c>
    </row>
    <row r="23" spans="1:4" x14ac:dyDescent="0.35">
      <c r="A23" s="222" t="s">
        <v>261</v>
      </c>
      <c r="B23" s="223">
        <v>40000000</v>
      </c>
      <c r="C23" s="222" t="s">
        <v>258</v>
      </c>
      <c r="D23" s="224">
        <f t="shared" si="1"/>
        <v>64000000</v>
      </c>
    </row>
    <row r="24" spans="1:4" x14ac:dyDescent="0.35">
      <c r="A24" s="222" t="s">
        <v>260</v>
      </c>
      <c r="B24" s="223">
        <v>54000000</v>
      </c>
      <c r="C24" s="222" t="s">
        <v>258</v>
      </c>
      <c r="D24" s="224">
        <f t="shared" si="1"/>
        <v>86400000</v>
      </c>
    </row>
    <row r="25" spans="1:4" x14ac:dyDescent="0.35">
      <c r="A25" s="222" t="s">
        <v>259</v>
      </c>
      <c r="B25" s="223">
        <v>7200000</v>
      </c>
      <c r="C25" s="222" t="s">
        <v>258</v>
      </c>
      <c r="D25" s="224">
        <f t="shared" si="1"/>
        <v>11520000</v>
      </c>
    </row>
    <row r="26" spans="1:4" x14ac:dyDescent="0.35">
      <c r="A26" s="222" t="s">
        <v>257</v>
      </c>
      <c r="B26" s="223">
        <v>10000000</v>
      </c>
      <c r="C26" s="222" t="s">
        <v>255</v>
      </c>
      <c r="D26" s="224">
        <f t="shared" si="1"/>
        <v>16000000</v>
      </c>
    </row>
    <row r="27" spans="1:4" x14ac:dyDescent="0.35">
      <c r="A27" s="222" t="s">
        <v>256</v>
      </c>
      <c r="B27" s="223">
        <v>4500000</v>
      </c>
      <c r="C27" s="222" t="s">
        <v>255</v>
      </c>
      <c r="D27" s="224">
        <f t="shared" si="1"/>
        <v>7200000</v>
      </c>
    </row>
    <row r="28" spans="1:4" x14ac:dyDescent="0.35">
      <c r="A28" s="299" t="s">
        <v>254</v>
      </c>
      <c r="B28" s="299"/>
      <c r="C28" s="299"/>
      <c r="D28" s="221">
        <f>SUM(D17:D27)</f>
        <v>244160000</v>
      </c>
    </row>
    <row r="29" spans="1:4" x14ac:dyDescent="0.35">
      <c r="A29" s="300" t="s">
        <v>253</v>
      </c>
      <c r="B29" s="301"/>
      <c r="C29" s="301"/>
      <c r="D29" s="221">
        <f>D28+(SUM(D17:D22,D26:D27))</f>
        <v>326400000</v>
      </c>
    </row>
    <row r="30" spans="1:4" x14ac:dyDescent="0.35">
      <c r="A30" s="220" t="s">
        <v>252</v>
      </c>
      <c r="B30" s="219"/>
      <c r="C30" s="219"/>
      <c r="D30" s="218">
        <f>D29*'Base Data'!B1*'Base Data'!B2</f>
        <v>39168000000</v>
      </c>
    </row>
    <row r="31" spans="1:4" x14ac:dyDescent="0.35">
      <c r="A31" s="217"/>
      <c r="B31" s="217"/>
      <c r="C31" s="217"/>
      <c r="D31" s="217"/>
    </row>
    <row r="32" spans="1:4" x14ac:dyDescent="0.35">
      <c r="A32" s="217"/>
      <c r="B32" s="217"/>
      <c r="C32" s="217"/>
      <c r="D32" s="217"/>
    </row>
    <row r="33" spans="1:4" x14ac:dyDescent="0.35">
      <c r="A33" s="217"/>
      <c r="B33" s="217"/>
      <c r="C33" s="217"/>
      <c r="D33" s="217"/>
    </row>
  </sheetData>
  <mergeCells count="3">
    <mergeCell ref="A15:D15"/>
    <mergeCell ref="A28:C28"/>
    <mergeCell ref="A29:C29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6CEC8-352B-47D1-B6AE-F626906CC116}">
  <dimension ref="A1:K39"/>
  <sheetViews>
    <sheetView zoomScale="85" workbookViewId="0">
      <pane xSplit="1" ySplit="2" topLeftCell="B8" activePane="bottomRight" state="frozen"/>
      <selection activeCell="D9" sqref="D9"/>
      <selection pane="topRight" activeCell="D9" sqref="D9"/>
      <selection pane="bottomLeft" activeCell="D9" sqref="D9"/>
      <selection pane="bottomRight" activeCell="A17" sqref="A17:D39"/>
    </sheetView>
  </sheetViews>
  <sheetFormatPr defaultColWidth="9.81640625" defaultRowHeight="14.5" x14ac:dyDescent="0.35"/>
  <cols>
    <col min="1" max="1" width="22.36328125" style="150" customWidth="1"/>
    <col min="2" max="2" width="27.453125" style="150" customWidth="1"/>
    <col min="3" max="3" width="17.08984375" customWidth="1"/>
    <col min="4" max="4" width="17.1796875" bestFit="1" customWidth="1"/>
    <col min="7" max="7" width="11.1796875" customWidth="1"/>
  </cols>
  <sheetData>
    <row r="1" spans="1:11" x14ac:dyDescent="0.35">
      <c r="A1" s="115" t="s">
        <v>186</v>
      </c>
      <c r="B1" s="115"/>
      <c r="C1" s="115"/>
      <c r="D1" s="115"/>
      <c r="E1" s="115"/>
      <c r="F1" s="115"/>
      <c r="G1" s="115"/>
      <c r="H1" s="115"/>
    </row>
    <row r="2" spans="1:11" s="73" customFormat="1" x14ac:dyDescent="0.35">
      <c r="A2" s="187"/>
      <c r="B2" s="143" t="s">
        <v>72</v>
      </c>
      <c r="C2" s="72" t="s">
        <v>118</v>
      </c>
      <c r="D2" s="113" t="s">
        <v>49</v>
      </c>
      <c r="E2" s="113" t="s">
        <v>50</v>
      </c>
      <c r="F2" s="113" t="s">
        <v>56</v>
      </c>
      <c r="G2" s="113" t="s">
        <v>158</v>
      </c>
      <c r="H2" s="113" t="s">
        <v>160</v>
      </c>
    </row>
    <row r="3" spans="1:11" s="73" customFormat="1" ht="24.75" customHeight="1" x14ac:dyDescent="0.35">
      <c r="A3" s="144" t="s">
        <v>119</v>
      </c>
      <c r="B3" s="145" t="s">
        <v>120</v>
      </c>
      <c r="C3" s="56"/>
      <c r="D3" s="56"/>
      <c r="E3" s="56"/>
      <c r="F3" s="56"/>
      <c r="G3" s="56"/>
      <c r="H3" s="99"/>
      <c r="I3" s="56"/>
      <c r="J3" s="56"/>
      <c r="K3" s="56"/>
    </row>
    <row r="4" spans="1:11" s="73" customFormat="1" ht="24" x14ac:dyDescent="0.35">
      <c r="A4" s="146" t="s">
        <v>121</v>
      </c>
      <c r="B4" s="147" t="s">
        <v>122</v>
      </c>
      <c r="C4" s="56"/>
      <c r="D4" s="193">
        <v>349798000000</v>
      </c>
      <c r="E4" s="56"/>
      <c r="F4" s="56"/>
      <c r="G4" s="56"/>
      <c r="H4" s="99"/>
      <c r="I4" s="56"/>
      <c r="J4" s="56"/>
      <c r="K4" s="56"/>
    </row>
    <row r="5" spans="1:11" s="73" customFormat="1" ht="13" x14ac:dyDescent="0.35">
      <c r="A5" s="146" t="s">
        <v>123</v>
      </c>
      <c r="B5" s="147" t="s">
        <v>124</v>
      </c>
      <c r="C5" s="56"/>
      <c r="D5" s="193">
        <v>18250000000</v>
      </c>
      <c r="E5" s="56"/>
      <c r="F5" s="56"/>
      <c r="G5" s="56"/>
      <c r="H5" s="99"/>
      <c r="I5" s="56"/>
      <c r="J5" s="56"/>
      <c r="K5" s="56"/>
    </row>
    <row r="6" spans="1:11" s="73" customFormat="1" ht="24" x14ac:dyDescent="0.35">
      <c r="A6" s="146" t="s">
        <v>125</v>
      </c>
      <c r="B6" s="147" t="s">
        <v>126</v>
      </c>
      <c r="C6" s="56"/>
      <c r="D6" s="193">
        <v>145650000000</v>
      </c>
      <c r="E6" s="56"/>
      <c r="F6" s="56"/>
      <c r="G6" s="56"/>
      <c r="H6" s="99"/>
      <c r="I6" s="56"/>
      <c r="J6" s="56"/>
      <c r="K6" s="56"/>
    </row>
    <row r="7" spans="1:11" s="73" customFormat="1" ht="24" x14ac:dyDescent="0.35">
      <c r="A7" s="146" t="s">
        <v>127</v>
      </c>
      <c r="B7" s="147" t="s">
        <v>128</v>
      </c>
      <c r="C7" s="56"/>
      <c r="D7" s="193">
        <v>15840000000</v>
      </c>
      <c r="E7" s="56"/>
      <c r="F7" s="56"/>
      <c r="G7" s="56"/>
      <c r="H7" s="99"/>
      <c r="I7" s="56"/>
      <c r="J7" s="56"/>
      <c r="K7" s="56"/>
    </row>
    <row r="8" spans="1:11" s="73" customFormat="1" ht="70.5" customHeight="1" x14ac:dyDescent="0.35">
      <c r="A8" s="146" t="s">
        <v>129</v>
      </c>
      <c r="B8" s="147" t="s">
        <v>130</v>
      </c>
      <c r="C8" s="56"/>
      <c r="D8" s="193">
        <v>7200000000</v>
      </c>
      <c r="E8" s="56"/>
      <c r="F8" s="56"/>
      <c r="G8" s="56"/>
      <c r="H8" s="99"/>
      <c r="I8" s="56"/>
      <c r="J8" s="56"/>
      <c r="K8" s="56"/>
    </row>
    <row r="9" spans="1:11" s="73" customFormat="1" ht="21" customHeight="1" x14ac:dyDescent="0.35">
      <c r="A9" s="146" t="s">
        <v>131</v>
      </c>
      <c r="B9" s="147" t="s">
        <v>132</v>
      </c>
      <c r="C9" s="56"/>
      <c r="D9" s="193">
        <v>6000000000</v>
      </c>
      <c r="E9" s="56"/>
      <c r="F9" s="56"/>
      <c r="G9" s="56"/>
      <c r="H9" s="99"/>
      <c r="I9" s="56"/>
      <c r="J9" s="56"/>
      <c r="K9" s="56"/>
    </row>
    <row r="10" spans="1:11" s="73" customFormat="1" ht="48.75" customHeight="1" x14ac:dyDescent="0.35">
      <c r="A10" s="146" t="s">
        <v>131</v>
      </c>
      <c r="B10" s="147" t="s">
        <v>133</v>
      </c>
      <c r="C10" s="56"/>
      <c r="D10" s="193">
        <v>15000000000</v>
      </c>
      <c r="E10" s="56"/>
      <c r="F10" s="56"/>
      <c r="G10" s="56"/>
      <c r="H10" s="99"/>
      <c r="I10" s="56"/>
      <c r="J10" s="56"/>
      <c r="K10" s="56"/>
    </row>
    <row r="11" spans="1:11" s="73" customFormat="1" ht="48.75" customHeight="1" x14ac:dyDescent="0.35">
      <c r="A11" s="146" t="s">
        <v>134</v>
      </c>
      <c r="B11" s="147"/>
      <c r="C11" s="56"/>
      <c r="D11" s="193">
        <v>40000000000</v>
      </c>
      <c r="E11" s="56"/>
      <c r="F11" s="56"/>
      <c r="G11" s="56"/>
      <c r="H11" s="99"/>
      <c r="I11" s="56"/>
      <c r="J11" s="56"/>
      <c r="K11" s="56"/>
    </row>
    <row r="12" spans="1:11" s="73" customFormat="1" ht="13" x14ac:dyDescent="0.35">
      <c r="A12" s="148" t="s">
        <v>44</v>
      </c>
      <c r="B12" s="149"/>
      <c r="C12" s="100"/>
      <c r="D12" s="106">
        <v>597738000000</v>
      </c>
      <c r="E12" s="106">
        <f t="shared" ref="E12:H12" si="0">SUM(E3:E11)</f>
        <v>0</v>
      </c>
      <c r="F12" s="106">
        <f t="shared" si="0"/>
        <v>0</v>
      </c>
      <c r="G12" s="106">
        <f t="shared" si="0"/>
        <v>0</v>
      </c>
      <c r="H12" s="188">
        <f t="shared" si="0"/>
        <v>0</v>
      </c>
    </row>
    <row r="13" spans="1:11" x14ac:dyDescent="0.35">
      <c r="D13" s="6"/>
    </row>
    <row r="14" spans="1:11" x14ac:dyDescent="0.35">
      <c r="D14" s="118"/>
    </row>
    <row r="15" spans="1:11" x14ac:dyDescent="0.35">
      <c r="D15" s="118"/>
    </row>
    <row r="17" spans="1:2" x14ac:dyDescent="0.35">
      <c r="A17"/>
      <c r="B17"/>
    </row>
    <row r="18" spans="1:2" x14ac:dyDescent="0.35">
      <c r="A18"/>
      <c r="B18"/>
    </row>
    <row r="19" spans="1:2" x14ac:dyDescent="0.35">
      <c r="A19"/>
      <c r="B19"/>
    </row>
    <row r="20" spans="1:2" x14ac:dyDescent="0.35">
      <c r="A20"/>
      <c r="B20"/>
    </row>
    <row r="21" spans="1:2" x14ac:dyDescent="0.35">
      <c r="A21"/>
      <c r="B21"/>
    </row>
    <row r="22" spans="1:2" x14ac:dyDescent="0.35">
      <c r="A22"/>
      <c r="B22"/>
    </row>
    <row r="23" spans="1:2" x14ac:dyDescent="0.35">
      <c r="A23"/>
      <c r="B23"/>
    </row>
    <row r="24" spans="1:2" x14ac:dyDescent="0.35">
      <c r="A24"/>
      <c r="B24"/>
    </row>
    <row r="25" spans="1:2" x14ac:dyDescent="0.35">
      <c r="A25"/>
      <c r="B25"/>
    </row>
    <row r="26" spans="1:2" x14ac:dyDescent="0.35">
      <c r="A26"/>
      <c r="B26"/>
    </row>
    <row r="27" spans="1:2" x14ac:dyDescent="0.35">
      <c r="A27"/>
      <c r="B27"/>
    </row>
    <row r="28" spans="1:2" x14ac:dyDescent="0.35">
      <c r="A28"/>
      <c r="B28"/>
    </row>
    <row r="29" spans="1:2" x14ac:dyDescent="0.35">
      <c r="A29"/>
      <c r="B29"/>
    </row>
    <row r="30" spans="1:2" x14ac:dyDescent="0.35">
      <c r="A30"/>
      <c r="B30"/>
    </row>
    <row r="31" spans="1:2" x14ac:dyDescent="0.35">
      <c r="A31"/>
      <c r="B31"/>
    </row>
    <row r="32" spans="1:2" x14ac:dyDescent="0.35">
      <c r="A32"/>
      <c r="B32"/>
    </row>
    <row r="33" spans="1:2" x14ac:dyDescent="0.35">
      <c r="A33"/>
      <c r="B33"/>
    </row>
    <row r="34" spans="1:2" x14ac:dyDescent="0.35">
      <c r="A34"/>
      <c r="B34"/>
    </row>
    <row r="35" spans="1:2" x14ac:dyDescent="0.35">
      <c r="A35"/>
      <c r="B35"/>
    </row>
    <row r="36" spans="1:2" x14ac:dyDescent="0.35">
      <c r="A36"/>
      <c r="B36"/>
    </row>
    <row r="37" spans="1:2" x14ac:dyDescent="0.35">
      <c r="A37"/>
      <c r="B37"/>
    </row>
    <row r="38" spans="1:2" x14ac:dyDescent="0.35">
      <c r="A38"/>
      <c r="B38"/>
    </row>
    <row r="39" spans="1:2" x14ac:dyDescent="0.35">
      <c r="A39"/>
      <c r="B39"/>
    </row>
  </sheetData>
  <pageMargins left="0.7" right="0.7" top="0.75" bottom="0.75" header="0.3" footer="0.3"/>
  <pageSetup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8F093-C0B5-47E7-B997-F5F706E4044B}">
  <dimension ref="A1:AB20"/>
  <sheetViews>
    <sheetView topLeftCell="B1" zoomScale="80" zoomScaleNormal="107" workbookViewId="0">
      <selection activeCell="G3" sqref="G3"/>
    </sheetView>
  </sheetViews>
  <sheetFormatPr defaultRowHeight="14.5" x14ac:dyDescent="0.35"/>
  <cols>
    <col min="1" max="1" width="23.7265625" bestFit="1" customWidth="1"/>
    <col min="2" max="2" width="15.6328125" bestFit="1" customWidth="1"/>
    <col min="3" max="3" width="11.81640625" bestFit="1" customWidth="1"/>
    <col min="4" max="4" width="10.81640625" style="6" bestFit="1" customWidth="1"/>
    <col min="5" max="6" width="9.453125" bestFit="1" customWidth="1"/>
    <col min="7" max="7" width="10.08984375" bestFit="1" customWidth="1"/>
    <col min="8" max="8" width="10.1796875" bestFit="1" customWidth="1"/>
    <col min="9" max="9" width="10.81640625" bestFit="1" customWidth="1"/>
    <col min="10" max="12" width="10.1796875" bestFit="1" customWidth="1"/>
    <col min="13" max="14" width="10.81640625" bestFit="1" customWidth="1"/>
    <col min="15" max="15" width="10.90625" bestFit="1" customWidth="1"/>
    <col min="16" max="16" width="10.81640625" bestFit="1" customWidth="1"/>
    <col min="17" max="17" width="10.90625" bestFit="1" customWidth="1"/>
    <col min="18" max="20" width="10.7265625" bestFit="1" customWidth="1"/>
    <col min="21" max="24" width="10.1796875" bestFit="1" customWidth="1"/>
    <col min="25" max="25" width="10.81640625" bestFit="1" customWidth="1"/>
    <col min="26" max="26" width="10.08984375" bestFit="1" customWidth="1"/>
    <col min="27" max="28" width="7.81640625" bestFit="1" customWidth="1"/>
  </cols>
  <sheetData>
    <row r="1" spans="1:28" ht="15" thickBot="1" x14ac:dyDescent="0.4">
      <c r="E1" t="s">
        <v>285</v>
      </c>
      <c r="F1" t="s">
        <v>286</v>
      </c>
      <c r="G1" t="s">
        <v>287</v>
      </c>
      <c r="H1" t="s">
        <v>288</v>
      </c>
      <c r="I1" t="s">
        <v>289</v>
      </c>
      <c r="J1" t="s">
        <v>290</v>
      </c>
      <c r="K1" t="s">
        <v>291</v>
      </c>
      <c r="L1" t="s">
        <v>292</v>
      </c>
      <c r="M1" t="s">
        <v>293</v>
      </c>
      <c r="N1" t="s">
        <v>294</v>
      </c>
      <c r="O1" t="s">
        <v>295</v>
      </c>
      <c r="P1" t="s">
        <v>296</v>
      </c>
      <c r="Q1" t="s">
        <v>297</v>
      </c>
      <c r="R1" t="s">
        <v>298</v>
      </c>
      <c r="S1" t="s">
        <v>299</v>
      </c>
      <c r="T1" t="s">
        <v>300</v>
      </c>
      <c r="U1" t="s">
        <v>301</v>
      </c>
      <c r="V1" t="s">
        <v>302</v>
      </c>
      <c r="W1" t="s">
        <v>303</v>
      </c>
      <c r="X1" t="s">
        <v>304</v>
      </c>
      <c r="Y1" t="s">
        <v>305</v>
      </c>
      <c r="Z1" t="s">
        <v>306</v>
      </c>
      <c r="AA1" t="s">
        <v>307</v>
      </c>
      <c r="AB1" t="s">
        <v>308</v>
      </c>
    </row>
    <row r="2" spans="1:28" ht="25.5" thickBot="1" x14ac:dyDescent="0.4">
      <c r="A2" s="194" t="s">
        <v>222</v>
      </c>
      <c r="B2" s="237"/>
      <c r="C2" s="195" t="s">
        <v>223</v>
      </c>
      <c r="D2" s="240" t="s">
        <v>224</v>
      </c>
      <c r="E2" s="196">
        <v>1</v>
      </c>
      <c r="F2" s="197">
        <v>2</v>
      </c>
      <c r="G2" s="197">
        <v>3</v>
      </c>
      <c r="H2" s="197">
        <v>4</v>
      </c>
      <c r="I2" s="197">
        <v>5</v>
      </c>
      <c r="J2" s="197">
        <v>6</v>
      </c>
      <c r="K2" s="197">
        <v>7</v>
      </c>
      <c r="L2" s="197">
        <v>8</v>
      </c>
      <c r="M2" s="197">
        <v>9</v>
      </c>
      <c r="N2" s="197">
        <v>10</v>
      </c>
      <c r="O2" s="197">
        <v>11</v>
      </c>
      <c r="P2" s="197">
        <v>12</v>
      </c>
      <c r="Q2" s="197">
        <v>13</v>
      </c>
      <c r="R2" s="197">
        <v>14</v>
      </c>
      <c r="S2" s="197">
        <v>15</v>
      </c>
      <c r="T2" s="197">
        <v>16</v>
      </c>
      <c r="U2" s="197">
        <v>17</v>
      </c>
      <c r="V2" s="197">
        <v>18</v>
      </c>
      <c r="W2" s="197">
        <v>19</v>
      </c>
      <c r="X2" s="197">
        <v>20</v>
      </c>
      <c r="Y2" s="197">
        <v>21</v>
      </c>
      <c r="Z2" s="197">
        <v>22</v>
      </c>
      <c r="AA2" s="197">
        <v>23</v>
      </c>
      <c r="AB2" s="197">
        <v>24</v>
      </c>
    </row>
    <row r="3" spans="1:28" ht="16" thickBot="1" x14ac:dyDescent="0.4">
      <c r="A3" s="198" t="s">
        <v>225</v>
      </c>
      <c r="B3" s="238">
        <v>8.6206896551724137E-3</v>
      </c>
      <c r="C3" s="239">
        <f t="shared" ref="C3:C13" si="0">$B$19*B3</f>
        <v>21241379310.344826</v>
      </c>
      <c r="D3" s="241">
        <f>C3/3</f>
        <v>7080459770.1149416</v>
      </c>
      <c r="E3" s="242">
        <f>D3</f>
        <v>7080459770.1149416</v>
      </c>
      <c r="F3" s="243">
        <f>E3</f>
        <v>7080459770.1149416</v>
      </c>
      <c r="G3" s="243">
        <f>D3</f>
        <v>7080459770.1149416</v>
      </c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</row>
    <row r="4" spans="1:28" ht="16" thickBot="1" x14ac:dyDescent="0.4">
      <c r="A4" s="198" t="s">
        <v>226</v>
      </c>
      <c r="B4" s="238">
        <v>8.6206896551724137E-3</v>
      </c>
      <c r="C4" s="239">
        <f t="shared" si="0"/>
        <v>21241379310.344826</v>
      </c>
      <c r="D4" s="241">
        <f>C4/3</f>
        <v>7080459770.1149416</v>
      </c>
      <c r="E4" s="200"/>
      <c r="F4" s="199"/>
      <c r="G4" s="243">
        <f>D4</f>
        <v>7080459770.1149416</v>
      </c>
      <c r="H4" s="243">
        <f>G4</f>
        <v>7080459770.1149416</v>
      </c>
      <c r="I4" s="243">
        <f>H4</f>
        <v>7080459770.1149416</v>
      </c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</row>
    <row r="5" spans="1:28" ht="16" thickBot="1" x14ac:dyDescent="0.4">
      <c r="A5" s="198" t="s">
        <v>227</v>
      </c>
      <c r="B5" s="238">
        <v>4.3103448275862068E-3</v>
      </c>
      <c r="C5" s="239">
        <f t="shared" si="0"/>
        <v>10620689655.172413</v>
      </c>
      <c r="D5" s="241">
        <f>C5/2</f>
        <v>5310344827.5862064</v>
      </c>
      <c r="E5" s="200"/>
      <c r="F5" s="199"/>
      <c r="G5" s="199"/>
      <c r="H5" s="243">
        <f>D5</f>
        <v>5310344827.5862064</v>
      </c>
      <c r="I5" s="243">
        <f>H5</f>
        <v>5310344827.5862064</v>
      </c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</row>
    <row r="6" spans="1:28" s="6" customFormat="1" ht="16" thickBot="1" x14ac:dyDescent="0.4">
      <c r="A6" s="244" t="s">
        <v>228</v>
      </c>
      <c r="B6" s="238">
        <v>2.1551724137931036E-2</v>
      </c>
      <c r="C6" s="241">
        <f t="shared" si="0"/>
        <v>53103448275.862076</v>
      </c>
      <c r="D6" s="241">
        <f>C6/4</f>
        <v>13275862068.965519</v>
      </c>
      <c r="E6" s="245"/>
      <c r="F6" s="241"/>
      <c r="G6" s="241"/>
      <c r="H6" s="241"/>
      <c r="I6" s="246">
        <f>D6</f>
        <v>13275862068.965519</v>
      </c>
      <c r="J6" s="246">
        <f>I6</f>
        <v>13275862068.965519</v>
      </c>
      <c r="K6" s="246">
        <f t="shared" ref="K6:L6" si="1">J6</f>
        <v>13275862068.965519</v>
      </c>
      <c r="L6" s="246">
        <f t="shared" si="1"/>
        <v>13275862068.965519</v>
      </c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</row>
    <row r="7" spans="1:28" s="6" customFormat="1" ht="16" thickBot="1" x14ac:dyDescent="0.4">
      <c r="A7" s="244" t="s">
        <v>229</v>
      </c>
      <c r="B7" s="238">
        <v>4.7844827586206902E-2</v>
      </c>
      <c r="C7" s="241">
        <f t="shared" si="0"/>
        <v>117889655172.4138</v>
      </c>
      <c r="D7" s="241">
        <f>C7/1</f>
        <v>117889655172.4138</v>
      </c>
      <c r="E7" s="245"/>
      <c r="F7" s="241"/>
      <c r="G7" s="241"/>
      <c r="H7" s="241"/>
      <c r="I7" s="247">
        <f>D7</f>
        <v>117889655172.4138</v>
      </c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</row>
    <row r="8" spans="1:28" s="6" customFormat="1" ht="16" thickBot="1" x14ac:dyDescent="0.4">
      <c r="A8" s="244" t="s">
        <v>230</v>
      </c>
      <c r="B8" s="238">
        <v>0.19137931034482758</v>
      </c>
      <c r="C8" s="241">
        <f t="shared" si="0"/>
        <v>471558620689.65515</v>
      </c>
      <c r="D8" s="241">
        <f>C8/6</f>
        <v>78593103448.275864</v>
      </c>
      <c r="E8" s="245"/>
      <c r="F8" s="241"/>
      <c r="G8" s="241"/>
      <c r="H8" s="241"/>
      <c r="I8" s="241"/>
      <c r="J8" s="248">
        <f>D8</f>
        <v>78593103448.275864</v>
      </c>
      <c r="K8" s="248">
        <f>J8</f>
        <v>78593103448.275864</v>
      </c>
      <c r="L8" s="248">
        <f t="shared" ref="L8:M8" si="2">K8</f>
        <v>78593103448.275864</v>
      </c>
      <c r="M8" s="248">
        <f t="shared" si="2"/>
        <v>78593103448.275864</v>
      </c>
      <c r="N8" s="248">
        <f t="shared" ref="N8" si="3">M8</f>
        <v>78593103448.275864</v>
      </c>
      <c r="O8" s="248">
        <f t="shared" ref="O8" si="4">N8</f>
        <v>78593103448.275864</v>
      </c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</row>
    <row r="9" spans="1:28" s="6" customFormat="1" ht="16" thickBot="1" x14ac:dyDescent="0.4">
      <c r="A9" s="244" t="s">
        <v>231</v>
      </c>
      <c r="B9" s="238">
        <v>0.19137931034482758</v>
      </c>
      <c r="C9" s="241">
        <f t="shared" si="0"/>
        <v>471558620689.65515</v>
      </c>
      <c r="D9" s="241">
        <f>C9/5</f>
        <v>94311724137.93103</v>
      </c>
      <c r="E9" s="245"/>
      <c r="F9" s="241"/>
      <c r="G9" s="241"/>
      <c r="H9" s="241"/>
      <c r="I9" s="241"/>
      <c r="J9" s="241"/>
      <c r="K9" s="241"/>
      <c r="L9" s="241"/>
      <c r="M9" s="248">
        <f>D9</f>
        <v>94311724137.93103</v>
      </c>
      <c r="N9" s="248">
        <f t="shared" ref="N9:Q9" si="5">M9</f>
        <v>94311724137.93103</v>
      </c>
      <c r="O9" s="248">
        <f t="shared" si="5"/>
        <v>94311724137.93103</v>
      </c>
      <c r="P9" s="248">
        <f t="shared" si="5"/>
        <v>94311724137.93103</v>
      </c>
      <c r="Q9" s="248">
        <f t="shared" si="5"/>
        <v>94311724137.93103</v>
      </c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</row>
    <row r="10" spans="1:28" s="6" customFormat="1" ht="16" thickBot="1" x14ac:dyDescent="0.4">
      <c r="A10" s="244" t="s">
        <v>232</v>
      </c>
      <c r="B10" s="238">
        <v>0.19137931034482758</v>
      </c>
      <c r="C10" s="241">
        <f t="shared" si="0"/>
        <v>471558620689.65515</v>
      </c>
      <c r="D10" s="241">
        <f>C10/6</f>
        <v>78593103448.275864</v>
      </c>
      <c r="E10" s="245"/>
      <c r="F10" s="241"/>
      <c r="G10" s="241"/>
      <c r="H10" s="241"/>
      <c r="I10" s="241"/>
      <c r="J10" s="241"/>
      <c r="K10" s="241"/>
      <c r="L10" s="241"/>
      <c r="M10" s="241"/>
      <c r="N10" s="241"/>
      <c r="O10" s="248">
        <f>D10</f>
        <v>78593103448.275864</v>
      </c>
      <c r="P10" s="248">
        <f t="shared" ref="P10:T10" si="6">O10</f>
        <v>78593103448.275864</v>
      </c>
      <c r="Q10" s="248">
        <f t="shared" si="6"/>
        <v>78593103448.275864</v>
      </c>
      <c r="R10" s="248">
        <f t="shared" si="6"/>
        <v>78593103448.275864</v>
      </c>
      <c r="S10" s="248">
        <f t="shared" si="6"/>
        <v>78593103448.275864</v>
      </c>
      <c r="T10" s="248">
        <f t="shared" si="6"/>
        <v>78593103448.275864</v>
      </c>
      <c r="U10" s="241"/>
      <c r="V10" s="241"/>
      <c r="W10" s="241"/>
      <c r="X10" s="241"/>
      <c r="Y10" s="241"/>
      <c r="Z10" s="241"/>
      <c r="AA10" s="241"/>
      <c r="AB10" s="241"/>
    </row>
    <row r="11" spans="1:28" s="6" customFormat="1" ht="16" thickBot="1" x14ac:dyDescent="0.4">
      <c r="A11" s="244" t="s">
        <v>233</v>
      </c>
      <c r="B11" s="238">
        <v>0.28706896551724137</v>
      </c>
      <c r="C11" s="241">
        <f t="shared" si="0"/>
        <v>707337931034.48279</v>
      </c>
      <c r="D11" s="241">
        <f>C11/9</f>
        <v>78593103448.275864</v>
      </c>
      <c r="E11" s="245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8">
        <f>D11</f>
        <v>78593103448.275864</v>
      </c>
      <c r="R11" s="248">
        <f t="shared" ref="R11:V11" si="7">Q11</f>
        <v>78593103448.275864</v>
      </c>
      <c r="S11" s="248">
        <f t="shared" si="7"/>
        <v>78593103448.275864</v>
      </c>
      <c r="T11" s="248">
        <f t="shared" si="7"/>
        <v>78593103448.275864</v>
      </c>
      <c r="U11" s="248">
        <f t="shared" si="7"/>
        <v>78593103448.275864</v>
      </c>
      <c r="V11" s="248">
        <f t="shared" si="7"/>
        <v>78593103448.275864</v>
      </c>
      <c r="W11" s="248">
        <f t="shared" ref="W11" si="8">V11</f>
        <v>78593103448.275864</v>
      </c>
      <c r="X11" s="248">
        <f t="shared" ref="X11" si="9">W11</f>
        <v>78593103448.275864</v>
      </c>
      <c r="Y11" s="248">
        <f t="shared" ref="Y11" si="10">X11</f>
        <v>78593103448.275864</v>
      </c>
      <c r="Z11" s="241"/>
      <c r="AA11" s="241"/>
      <c r="AB11" s="241"/>
    </row>
    <row r="12" spans="1:28" s="6" customFormat="1" ht="16" thickBot="1" x14ac:dyDescent="0.4">
      <c r="A12" s="244" t="s">
        <v>234</v>
      </c>
      <c r="B12" s="238">
        <v>2.8706896551724134E-2</v>
      </c>
      <c r="C12" s="241">
        <f t="shared" si="0"/>
        <v>70733793103.448273</v>
      </c>
      <c r="D12" s="241">
        <f>C12/2</f>
        <v>35366896551.724136</v>
      </c>
      <c r="E12" s="245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9">
        <f>D12</f>
        <v>35366896551.724136</v>
      </c>
      <c r="Z12" s="249">
        <f>Y12</f>
        <v>35366896551.724136</v>
      </c>
      <c r="AA12" s="241"/>
      <c r="AB12" s="241"/>
    </row>
    <row r="13" spans="1:28" s="6" customFormat="1" ht="16" thickBot="1" x14ac:dyDescent="0.4">
      <c r="A13" s="244" t="s">
        <v>235</v>
      </c>
      <c r="B13" s="238">
        <v>1.9137931034482757E-2</v>
      </c>
      <c r="C13" s="241">
        <f t="shared" si="0"/>
        <v>47155862068.965515</v>
      </c>
      <c r="D13" s="241">
        <f>C13/1</f>
        <v>47155862068.965515</v>
      </c>
      <c r="E13" s="245"/>
      <c r="F13" s="241"/>
      <c r="G13" s="241"/>
      <c r="H13" s="241"/>
      <c r="I13" s="241"/>
      <c r="J13" s="241"/>
      <c r="K13" s="241"/>
      <c r="L13" s="241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7">
        <f>D13</f>
        <v>47155862068.965515</v>
      </c>
      <c r="AA13" s="241"/>
      <c r="AB13" s="241"/>
    </row>
    <row r="14" spans="1:28" s="6" customFormat="1" ht="16" thickBot="1" x14ac:dyDescent="0.4">
      <c r="A14" s="250"/>
      <c r="B14" s="259">
        <f>SUM(B3:B13)</f>
        <v>1</v>
      </c>
      <c r="C14" s="251">
        <f>SUM(C3:C13)</f>
        <v>2464000000000</v>
      </c>
      <c r="E14" s="241">
        <f>SUM(E3:E13)</f>
        <v>7080459770.1149416</v>
      </c>
      <c r="F14" s="241">
        <f t="shared" ref="F14:AB14" si="11">SUM(F3:F13)</f>
        <v>7080459770.1149416</v>
      </c>
      <c r="G14" s="241">
        <f t="shared" si="11"/>
        <v>14160919540.229883</v>
      </c>
      <c r="H14" s="241">
        <f t="shared" si="11"/>
        <v>12390804597.701149</v>
      </c>
      <c r="I14" s="241">
        <f t="shared" si="11"/>
        <v>143556321839.08047</v>
      </c>
      <c r="J14" s="241">
        <f t="shared" si="11"/>
        <v>91868965517.241379</v>
      </c>
      <c r="K14" s="241">
        <f t="shared" si="11"/>
        <v>91868965517.241379</v>
      </c>
      <c r="L14" s="241">
        <f t="shared" si="11"/>
        <v>91868965517.241379</v>
      </c>
      <c r="M14" s="241">
        <f t="shared" si="11"/>
        <v>172904827586.20691</v>
      </c>
      <c r="N14" s="241">
        <f t="shared" si="11"/>
        <v>172904827586.20691</v>
      </c>
      <c r="O14" s="241">
        <f t="shared" si="11"/>
        <v>251497931034.48279</v>
      </c>
      <c r="P14" s="241">
        <f t="shared" si="11"/>
        <v>172904827586.20691</v>
      </c>
      <c r="Q14" s="241">
        <f t="shared" si="11"/>
        <v>251497931034.48279</v>
      </c>
      <c r="R14" s="241">
        <f t="shared" si="11"/>
        <v>157186206896.55173</v>
      </c>
      <c r="S14" s="241">
        <f t="shared" si="11"/>
        <v>157186206896.55173</v>
      </c>
      <c r="T14" s="241">
        <f t="shared" si="11"/>
        <v>157186206896.55173</v>
      </c>
      <c r="U14" s="241">
        <f t="shared" si="11"/>
        <v>78593103448.275864</v>
      </c>
      <c r="V14" s="241">
        <f t="shared" si="11"/>
        <v>78593103448.275864</v>
      </c>
      <c r="W14" s="241">
        <f t="shared" si="11"/>
        <v>78593103448.275864</v>
      </c>
      <c r="X14" s="241">
        <f t="shared" si="11"/>
        <v>78593103448.275864</v>
      </c>
      <c r="Y14" s="241">
        <f t="shared" si="11"/>
        <v>113960000000</v>
      </c>
      <c r="Z14" s="241">
        <f>SUM(Z3:Z13)</f>
        <v>82522758620.689651</v>
      </c>
      <c r="AA14" s="241">
        <f t="shared" si="11"/>
        <v>0</v>
      </c>
      <c r="AB14" s="241">
        <f t="shared" si="11"/>
        <v>0</v>
      </c>
    </row>
    <row r="15" spans="1:28" ht="17" x14ac:dyDescent="0.6">
      <c r="A15" s="252" t="s">
        <v>309</v>
      </c>
      <c r="B15" s="258">
        <v>4400</v>
      </c>
      <c r="E15" s="302">
        <f>SUM(E14:L14)</f>
        <v>459875862068.96558</v>
      </c>
      <c r="F15" s="302"/>
      <c r="G15" s="302"/>
      <c r="H15" s="302"/>
      <c r="I15" s="302"/>
      <c r="J15" s="302"/>
      <c r="K15" s="302"/>
      <c r="L15" s="302"/>
      <c r="M15" s="302">
        <f>SUM(M14:X14)</f>
        <v>1807641379310.345</v>
      </c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>
        <f>SUM(Y14:AB14)</f>
        <v>196482758620.68964</v>
      </c>
      <c r="Z15" s="302"/>
      <c r="AA15" s="302"/>
      <c r="AB15" s="302"/>
    </row>
    <row r="16" spans="1:28" ht="17" x14ac:dyDescent="0.6">
      <c r="A16" s="252" t="s">
        <v>310</v>
      </c>
      <c r="B16" s="258">
        <v>1600000</v>
      </c>
      <c r="E16" s="303">
        <f>E15/C14</f>
        <v>0.18663793103448278</v>
      </c>
      <c r="F16" s="303"/>
      <c r="G16" s="303"/>
      <c r="H16" s="303"/>
      <c r="I16" s="303"/>
      <c r="J16" s="303"/>
      <c r="K16" s="303"/>
      <c r="L16" s="303"/>
      <c r="M16" s="304">
        <f>M15/C14</f>
        <v>0.73362068965517246</v>
      </c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5">
        <f>Y15/C14</f>
        <v>7.974137931034482E-2</v>
      </c>
      <c r="Z16" s="305"/>
      <c r="AA16" s="305"/>
      <c r="AB16" s="305"/>
    </row>
    <row r="17" spans="1:2" ht="17" x14ac:dyDescent="0.6">
      <c r="A17" s="252" t="s">
        <v>311</v>
      </c>
      <c r="B17" s="252">
        <v>350</v>
      </c>
    </row>
    <row r="18" spans="1:2" ht="17" x14ac:dyDescent="0.6">
      <c r="A18" s="252" t="s">
        <v>312</v>
      </c>
      <c r="B18" s="257">
        <v>0.16</v>
      </c>
    </row>
    <row r="19" spans="1:2" ht="17" x14ac:dyDescent="0.6">
      <c r="A19" s="252" t="s">
        <v>313</v>
      </c>
      <c r="B19" s="253">
        <f>B15*B16*B17</f>
        <v>2464000000000</v>
      </c>
    </row>
    <row r="20" spans="1:2" ht="17" x14ac:dyDescent="0.6">
      <c r="A20" s="252" t="s">
        <v>314</v>
      </c>
      <c r="B20" s="253">
        <f>B19*(1+B18)</f>
        <v>2858240000000</v>
      </c>
    </row>
  </sheetData>
  <mergeCells count="6">
    <mergeCell ref="Y15:AB15"/>
    <mergeCell ref="E16:L16"/>
    <mergeCell ref="M16:X16"/>
    <mergeCell ref="Y16:AB16"/>
    <mergeCell ref="E15:L15"/>
    <mergeCell ref="M15:X15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Base Data</vt:lpstr>
      <vt:lpstr>NPV-Owner</vt:lpstr>
      <vt:lpstr>Single Property P&amp;L-Flourd</vt:lpstr>
      <vt:lpstr>Sales</vt:lpstr>
      <vt:lpstr>Operating Costs</vt:lpstr>
      <vt:lpstr>Operation Staff cost</vt:lpstr>
      <vt:lpstr>Pre Opening</vt:lpstr>
      <vt:lpstr>Capex </vt:lpstr>
      <vt:lpstr>Constuction CashFlow</vt:lpstr>
      <vt:lpstr>DepartmentalExpenses</vt:lpstr>
      <vt:lpstr>DepartmentalExpensesRange</vt:lpstr>
      <vt:lpstr>OperatingRevenue</vt:lpstr>
      <vt:lpstr>OperatingRevenueRange</vt:lpstr>
      <vt:lpstr>PL</vt:lpstr>
      <vt:lpstr>test</vt:lpstr>
      <vt:lpstr>UndistributedExpensesRange</vt:lpstr>
      <vt:lpstr>UndistributedOperatingExpenses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Masi Kouhnavard</dc:creator>
  <cp:lastModifiedBy>Soheil Mamdoohi</cp:lastModifiedBy>
  <dcterms:created xsi:type="dcterms:W3CDTF">2015-06-05T18:17:20Z</dcterms:created>
  <dcterms:modified xsi:type="dcterms:W3CDTF">2026-06-18T08:21:00Z</dcterms:modified>
</cp:coreProperties>
</file>